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120" windowWidth="20360" windowHeight="15000"/>
  </bookViews>
  <sheets>
    <sheet name="Startup Costs" sheetId="4" r:id="rId1"/>
    <sheet name="Sales Forecast" sheetId="2" r:id="rId2"/>
    <sheet name="Income Statement" sheetId="3" r:id="rId3"/>
    <sheet name="Balance Sheet" sheetId="6" r:id="rId4"/>
    <sheet name="Depreciation Schedule" sheetId="8" r:id="rId5"/>
    <sheet name="Loan Amortizaton" sheetId="10" r:id="rId6"/>
    <sheet name="Ratios" sheetId="9" r:id="rId7"/>
    <sheet name="Breakeven Analysis" sheetId="11" r:id="rId8"/>
  </sheets>
  <externalReferences>
    <externalReference r:id="rId9"/>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6" l="1"/>
  <c r="C14" i="6"/>
  <c r="B14" i="6"/>
  <c r="B9" i="6"/>
  <c r="D5" i="6"/>
  <c r="C5" i="6"/>
  <c r="B5" i="6"/>
  <c r="D23" i="11"/>
  <c r="C23" i="11"/>
  <c r="B23" i="11"/>
  <c r="B33" i="4"/>
  <c r="B32" i="4"/>
  <c r="B9" i="2"/>
  <c r="B5" i="3"/>
  <c r="B19" i="9"/>
  <c r="H10" i="10"/>
  <c r="B6" i="10"/>
  <c r="E5" i="10"/>
  <c r="C6" i="10"/>
  <c r="D6" i="10"/>
  <c r="B7" i="10"/>
  <c r="E6" i="10"/>
  <c r="C7" i="10"/>
  <c r="D7" i="10"/>
  <c r="B8" i="10"/>
  <c r="E7" i="10"/>
  <c r="C8" i="10"/>
  <c r="D8" i="10"/>
  <c r="B9" i="10"/>
  <c r="E8" i="10"/>
  <c r="C9" i="10"/>
  <c r="D9" i="10"/>
  <c r="B10" i="10"/>
  <c r="E9" i="10"/>
  <c r="C10" i="10"/>
  <c r="D10" i="10"/>
  <c r="B11" i="10"/>
  <c r="E10" i="10"/>
  <c r="C11" i="10"/>
  <c r="D11" i="10"/>
  <c r="B12" i="10"/>
  <c r="E11" i="10"/>
  <c r="C12" i="10"/>
  <c r="D12" i="10"/>
  <c r="B13" i="10"/>
  <c r="E12" i="10"/>
  <c r="C13" i="10"/>
  <c r="D13" i="10"/>
  <c r="B14" i="10"/>
  <c r="E13" i="10"/>
  <c r="C14" i="10"/>
  <c r="D14" i="10"/>
  <c r="B15" i="10"/>
  <c r="E14" i="10"/>
  <c r="C15" i="10"/>
  <c r="D15" i="10"/>
  <c r="B28" i="4"/>
  <c r="D20" i="8"/>
  <c r="D34" i="8"/>
  <c r="C24" i="8"/>
  <c r="C38" i="8"/>
  <c r="C28" i="8"/>
  <c r="C42" i="8"/>
  <c r="B22" i="8"/>
  <c r="B36" i="8"/>
  <c r="B26" i="8"/>
  <c r="B40" i="8"/>
  <c r="B20" i="8"/>
  <c r="B34" i="8"/>
  <c r="C21" i="8"/>
  <c r="C35" i="8"/>
  <c r="D21" i="8"/>
  <c r="D35" i="8"/>
  <c r="C22" i="8"/>
  <c r="C36" i="8"/>
  <c r="D22" i="8"/>
  <c r="D36" i="8"/>
  <c r="C23" i="8"/>
  <c r="C37" i="8"/>
  <c r="D23" i="8"/>
  <c r="D37" i="8"/>
  <c r="D24" i="8"/>
  <c r="D38" i="8"/>
  <c r="C25" i="8"/>
  <c r="C39" i="8"/>
  <c r="D25" i="8"/>
  <c r="D39" i="8"/>
  <c r="C26" i="8"/>
  <c r="C40" i="8"/>
  <c r="D26" i="8"/>
  <c r="D40" i="8"/>
  <c r="C27" i="8"/>
  <c r="C41" i="8"/>
  <c r="D27" i="8"/>
  <c r="D41" i="8"/>
  <c r="D28" i="8"/>
  <c r="D42" i="8"/>
  <c r="C29" i="8"/>
  <c r="C43" i="8"/>
  <c r="D29" i="8"/>
  <c r="D43" i="8"/>
  <c r="C20" i="8"/>
  <c r="C34" i="8"/>
  <c r="C12" i="11"/>
  <c r="C36" i="11"/>
  <c r="D12" i="11"/>
  <c r="D36" i="11"/>
  <c r="C13" i="11"/>
  <c r="C37" i="11"/>
  <c r="D13" i="11"/>
  <c r="D37" i="11"/>
  <c r="C14" i="11"/>
  <c r="C38" i="11"/>
  <c r="D14" i="11"/>
  <c r="D38" i="11"/>
  <c r="C16" i="11"/>
  <c r="C40" i="11"/>
  <c r="D16" i="11"/>
  <c r="D40" i="11"/>
  <c r="C17" i="11"/>
  <c r="C41" i="11"/>
  <c r="D17" i="11"/>
  <c r="D41" i="11"/>
  <c r="C18" i="11"/>
  <c r="C42" i="11"/>
  <c r="D18" i="11"/>
  <c r="D42" i="11"/>
  <c r="B13" i="11"/>
  <c r="B37" i="11"/>
  <c r="B14" i="11"/>
  <c r="B38" i="11"/>
  <c r="B16" i="11"/>
  <c r="B40" i="11"/>
  <c r="B17" i="11"/>
  <c r="B41" i="11"/>
  <c r="B18" i="11"/>
  <c r="B42" i="11"/>
  <c r="B12" i="11"/>
  <c r="B36" i="11"/>
  <c r="D47" i="11"/>
  <c r="C47" i="11"/>
  <c r="B47" i="11"/>
  <c r="B21" i="2"/>
  <c r="B22" i="2"/>
  <c r="B23" i="2"/>
  <c r="B24" i="2"/>
  <c r="B25" i="2"/>
  <c r="C9" i="2"/>
  <c r="C5" i="3"/>
  <c r="C21" i="2"/>
  <c r="C22" i="2"/>
  <c r="C23" i="2"/>
  <c r="C24" i="2"/>
  <c r="C25" i="2"/>
  <c r="D9" i="2"/>
  <c r="D5" i="3"/>
  <c r="D21" i="2"/>
  <c r="D22" i="2"/>
  <c r="D23" i="2"/>
  <c r="D24" i="2"/>
  <c r="D25" i="2"/>
  <c r="C6" i="11"/>
  <c r="B21" i="8"/>
  <c r="B35" i="8"/>
  <c r="B23" i="8"/>
  <c r="B24" i="8"/>
  <c r="B25" i="8"/>
  <c r="B27" i="8"/>
  <c r="B28" i="8"/>
  <c r="B29" i="8"/>
  <c r="B30" i="8"/>
  <c r="B38" i="8"/>
  <c r="B39" i="8"/>
  <c r="B41" i="8"/>
  <c r="B42" i="8"/>
  <c r="B43" i="8"/>
  <c r="B16" i="8"/>
  <c r="C16" i="8"/>
  <c r="D16" i="8"/>
  <c r="B10" i="4"/>
  <c r="D19" i="9"/>
  <c r="B47" i="10"/>
  <c r="B63" i="10"/>
  <c r="B90" i="10"/>
  <c r="B98" i="10"/>
  <c r="B106" i="10"/>
  <c r="B122" i="10"/>
  <c r="B130" i="10"/>
  <c r="B138" i="10"/>
  <c r="B154" i="10"/>
  <c r="B162" i="10"/>
  <c r="B170" i="10"/>
  <c r="B186" i="10"/>
  <c r="B191" i="10"/>
  <c r="B194" i="10"/>
  <c r="B199" i="10"/>
  <c r="B202" i="10"/>
  <c r="B206" i="10"/>
  <c r="B210" i="10"/>
  <c r="B214" i="10"/>
  <c r="B215" i="10"/>
  <c r="B222" i="10"/>
  <c r="B223" i="10"/>
  <c r="B226" i="10"/>
  <c r="B231" i="10"/>
  <c r="B234" i="10"/>
  <c r="B238" i="10"/>
  <c r="B242" i="10"/>
  <c r="H7" i="10"/>
  <c r="B82" i="10"/>
  <c r="B78" i="10"/>
  <c r="B66" i="10"/>
  <c r="B62" i="10"/>
  <c r="B58" i="10"/>
  <c r="B46" i="10"/>
  <c r="B42" i="10"/>
  <c r="B241" i="10"/>
  <c r="B233" i="10"/>
  <c r="B225" i="10"/>
  <c r="B221" i="10"/>
  <c r="B209" i="10"/>
  <c r="B205" i="10"/>
  <c r="B201" i="10"/>
  <c r="B193" i="10"/>
  <c r="B189" i="10"/>
  <c r="B185" i="10"/>
  <c r="B177" i="10"/>
  <c r="B173" i="10"/>
  <c r="B169" i="10"/>
  <c r="B161" i="10"/>
  <c r="B157" i="10"/>
  <c r="B153" i="10"/>
  <c r="B145" i="10"/>
  <c r="B141" i="10"/>
  <c r="B137" i="10"/>
  <c r="B129" i="10"/>
  <c r="B125" i="10"/>
  <c r="B121" i="10"/>
  <c r="B113" i="10"/>
  <c r="B109" i="10"/>
  <c r="B105" i="10"/>
  <c r="B97" i="10"/>
  <c r="B93" i="10"/>
  <c r="B89" i="10"/>
  <c r="B85" i="10"/>
  <c r="B81" i="10"/>
  <c r="B77" i="10"/>
  <c r="B73" i="10"/>
  <c r="B69" i="10"/>
  <c r="B65" i="10"/>
  <c r="B61" i="10"/>
  <c r="B57" i="10"/>
  <c r="B53" i="10"/>
  <c r="B49" i="10"/>
  <c r="B45" i="10"/>
  <c r="B244" i="10"/>
  <c r="B240" i="10"/>
  <c r="B236" i="10"/>
  <c r="B232" i="10"/>
  <c r="B228" i="10"/>
  <c r="B224" i="10"/>
  <c r="B220" i="10"/>
  <c r="B216" i="10"/>
  <c r="B212" i="10"/>
  <c r="B208" i="10"/>
  <c r="B204" i="10"/>
  <c r="B200" i="10"/>
  <c r="B196" i="10"/>
  <c r="B192" i="10"/>
  <c r="B188" i="10"/>
  <c r="B184" i="10"/>
  <c r="B180" i="10"/>
  <c r="B176" i="10"/>
  <c r="B172" i="10"/>
  <c r="B168" i="10"/>
  <c r="B164" i="10"/>
  <c r="B160" i="10"/>
  <c r="B156" i="10"/>
  <c r="B152" i="10"/>
  <c r="B148" i="10"/>
  <c r="B144" i="10"/>
  <c r="B140" i="10"/>
  <c r="B136" i="10"/>
  <c r="B132" i="10"/>
  <c r="B128" i="10"/>
  <c r="B124" i="10"/>
  <c r="B120" i="10"/>
  <c r="B116" i="10"/>
  <c r="B112" i="10"/>
  <c r="B108" i="10"/>
  <c r="B104" i="10"/>
  <c r="B100" i="10"/>
  <c r="B96" i="10"/>
  <c r="B92" i="10"/>
  <c r="B88" i="10"/>
  <c r="B84" i="10"/>
  <c r="B80" i="10"/>
  <c r="B76" i="10"/>
  <c r="B72" i="10"/>
  <c r="B68" i="10"/>
  <c r="B64" i="10"/>
  <c r="B60" i="10"/>
  <c r="B56" i="10"/>
  <c r="B52" i="10"/>
  <c r="B48" i="10"/>
  <c r="B44" i="10"/>
  <c r="B183" i="10"/>
  <c r="B175" i="10"/>
  <c r="B167" i="10"/>
  <c r="B159" i="10"/>
  <c r="B151" i="10"/>
  <c r="B143" i="10"/>
  <c r="B135" i="10"/>
  <c r="B127" i="10"/>
  <c r="B119" i="10"/>
  <c r="B111" i="10"/>
  <c r="B103" i="10"/>
  <c r="B95" i="10"/>
  <c r="B87" i="10"/>
  <c r="B75" i="10"/>
  <c r="B59" i="10"/>
  <c r="B43" i="10"/>
  <c r="B41" i="10"/>
  <c r="B190" i="10"/>
  <c r="B182" i="10"/>
  <c r="B174" i="10"/>
  <c r="B166" i="10"/>
  <c r="B158" i="10"/>
  <c r="B150" i="10"/>
  <c r="B142" i="10"/>
  <c r="B134" i="10"/>
  <c r="B126" i="10"/>
  <c r="B118" i="10"/>
  <c r="B110" i="10"/>
  <c r="B102" i="10"/>
  <c r="B94" i="10"/>
  <c r="B86" i="10"/>
  <c r="B71" i="10"/>
  <c r="B55" i="10"/>
  <c r="B101" i="10"/>
  <c r="B117" i="10"/>
  <c r="B133" i="10"/>
  <c r="B149" i="10"/>
  <c r="B165" i="10"/>
  <c r="B181" i="10"/>
  <c r="B197" i="10"/>
  <c r="B213" i="10"/>
  <c r="B229" i="10"/>
  <c r="B245" i="10"/>
  <c r="B54" i="10"/>
  <c r="B70" i="10"/>
  <c r="B243" i="10"/>
  <c r="B235" i="10"/>
  <c r="B227" i="10"/>
  <c r="B219" i="10"/>
  <c r="B211" i="10"/>
  <c r="B203" i="10"/>
  <c r="B195" i="10"/>
  <c r="B187" i="10"/>
  <c r="B179" i="10"/>
  <c r="B171" i="10"/>
  <c r="B163" i="10"/>
  <c r="B155" i="10"/>
  <c r="B147" i="10"/>
  <c r="B139" i="10"/>
  <c r="B131" i="10"/>
  <c r="B123" i="10"/>
  <c r="B115" i="10"/>
  <c r="B107" i="10"/>
  <c r="B99" i="10"/>
  <c r="B91" i="10"/>
  <c r="B83" i="10"/>
  <c r="B67" i="10"/>
  <c r="B51" i="10"/>
  <c r="C9" i="6"/>
  <c r="C30" i="8"/>
  <c r="B37" i="8"/>
  <c r="B44" i="8"/>
  <c r="B16" i="3"/>
  <c r="B26" i="2"/>
  <c r="B6" i="3"/>
  <c r="D26" i="2"/>
  <c r="D6" i="3"/>
  <c r="D7" i="3"/>
  <c r="D30" i="8"/>
  <c r="C26" i="2"/>
  <c r="C6" i="3"/>
  <c r="C7" i="3"/>
  <c r="D6" i="11"/>
  <c r="B6" i="11"/>
  <c r="B7" i="3"/>
  <c r="C19" i="9"/>
  <c r="C44" i="8"/>
  <c r="C16" i="3"/>
  <c r="D44" i="8"/>
  <c r="D16" i="3"/>
  <c r="B28" i="10"/>
  <c r="B27" i="10"/>
  <c r="B26" i="10"/>
  <c r="B25" i="10"/>
  <c r="B24" i="10"/>
  <c r="B23" i="10"/>
  <c r="B22" i="10"/>
  <c r="B21" i="10"/>
  <c r="B20" i="10"/>
  <c r="B19" i="10"/>
  <c r="B18" i="10"/>
  <c r="B217" i="10"/>
  <c r="B237" i="10"/>
  <c r="B50" i="10"/>
  <c r="B74" i="10"/>
  <c r="B239" i="10"/>
  <c r="B230" i="10"/>
  <c r="B218" i="10"/>
  <c r="B207" i="10"/>
  <c r="B198" i="10"/>
  <c r="B178" i="10"/>
  <c r="B146" i="10"/>
  <c r="B114" i="10"/>
  <c r="B79" i="10"/>
  <c r="B40" i="10"/>
  <c r="B39" i="10"/>
  <c r="B38" i="10"/>
  <c r="B37" i="10"/>
  <c r="B36" i="10"/>
  <c r="B35" i="10"/>
  <c r="B34" i="10"/>
  <c r="B33" i="10"/>
  <c r="B32" i="10"/>
  <c r="B31" i="10"/>
  <c r="B30" i="10"/>
  <c r="B29" i="10"/>
  <c r="B17" i="10"/>
  <c r="B16" i="10"/>
  <c r="B19" i="11"/>
  <c r="B43" i="11"/>
  <c r="B10" i="6"/>
  <c r="C6" i="9"/>
  <c r="C17" i="3"/>
  <c r="C18" i="3"/>
  <c r="D6" i="9"/>
  <c r="D17" i="3"/>
  <c r="D18" i="3"/>
  <c r="D19" i="11"/>
  <c r="D43" i="11"/>
  <c r="D9" i="6"/>
  <c r="C7" i="11"/>
  <c r="D7" i="11"/>
  <c r="D8" i="11"/>
  <c r="B17" i="3"/>
  <c r="B18" i="3"/>
  <c r="B14" i="4"/>
  <c r="C19" i="11"/>
  <c r="C43" i="11"/>
  <c r="B6" i="9"/>
  <c r="B7" i="11"/>
  <c r="B8" i="11"/>
  <c r="B29" i="4"/>
  <c r="B36" i="4"/>
  <c r="B34" i="4"/>
  <c r="B15" i="6"/>
  <c r="C15" i="6"/>
  <c r="C39" i="11"/>
  <c r="C44" i="11"/>
  <c r="C20" i="11"/>
  <c r="D15" i="6"/>
  <c r="C10" i="6"/>
  <c r="B11" i="6"/>
  <c r="B39" i="11"/>
  <c r="B44" i="11"/>
  <c r="B20" i="11"/>
  <c r="C8" i="11"/>
  <c r="C9" i="11"/>
  <c r="D9" i="11"/>
  <c r="D20" i="11"/>
  <c r="D39" i="11"/>
  <c r="D44" i="11"/>
  <c r="B9" i="11"/>
  <c r="D10" i="6"/>
  <c r="D11" i="6"/>
  <c r="C11" i="6"/>
  <c r="D21" i="11"/>
  <c r="D10" i="11"/>
  <c r="C10" i="11"/>
  <c r="C21" i="11"/>
  <c r="B10" i="11"/>
  <c r="B21" i="11"/>
  <c r="E15" i="10"/>
  <c r="C16" i="10"/>
  <c r="D16" i="10"/>
  <c r="E16" i="10"/>
  <c r="C17" i="10"/>
  <c r="B18" i="6"/>
  <c r="B19" i="6"/>
  <c r="D17" i="10"/>
  <c r="E17" i="10"/>
  <c r="B19" i="3"/>
  <c r="B22" i="11"/>
  <c r="B20" i="3"/>
  <c r="C18" i="10"/>
  <c r="D18" i="10"/>
  <c r="B21" i="3"/>
  <c r="B46" i="11"/>
  <c r="B27" i="11"/>
  <c r="B32" i="11"/>
  <c r="B24" i="11"/>
  <c r="E18" i="10"/>
  <c r="B7" i="9"/>
  <c r="B33" i="11"/>
  <c r="B34" i="11"/>
  <c r="B45" i="11"/>
  <c r="B48" i="11"/>
  <c r="B23" i="6"/>
  <c r="C19" i="10"/>
  <c r="B8" i="6"/>
  <c r="B12" i="6"/>
  <c r="B12" i="9"/>
  <c r="B13" i="9"/>
  <c r="D19" i="10"/>
  <c r="B29" i="6"/>
  <c r="B16" i="9"/>
  <c r="B9" i="9"/>
  <c r="E19" i="10"/>
  <c r="B28" i="6"/>
  <c r="B30" i="6"/>
  <c r="B8" i="9"/>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C19" i="3"/>
  <c r="C22" i="11"/>
  <c r="C20" i="3"/>
  <c r="E29" i="10"/>
  <c r="C21" i="3"/>
  <c r="C30" i="10"/>
  <c r="C46" i="11"/>
  <c r="C27" i="11"/>
  <c r="C32" i="11"/>
  <c r="C24" i="11"/>
  <c r="C33" i="11"/>
  <c r="C34" i="11"/>
  <c r="C45" i="11"/>
  <c r="C48" i="11"/>
  <c r="C18" i="6"/>
  <c r="C19" i="6"/>
  <c r="C7" i="9"/>
  <c r="D30" i="10"/>
  <c r="E30" i="10"/>
  <c r="C23" i="6"/>
  <c r="C9" i="9"/>
  <c r="C8" i="6"/>
  <c r="C12" i="9"/>
  <c r="C13" i="9"/>
  <c r="C12" i="6"/>
  <c r="C29" i="6"/>
  <c r="C31" i="10"/>
  <c r="C16" i="9"/>
  <c r="D31" i="10"/>
  <c r="C28" i="6"/>
  <c r="C30" i="6"/>
  <c r="C8" i="9"/>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1" i="10"/>
  <c r="D41" i="10"/>
  <c r="D19" i="3"/>
  <c r="D22" i="11"/>
  <c r="D20" i="3"/>
  <c r="E41" i="10"/>
  <c r="D18" i="6"/>
  <c r="D19" i="6"/>
  <c r="D21" i="3"/>
  <c r="C42" i="10"/>
  <c r="D42" i="10"/>
  <c r="E42" i="10"/>
  <c r="D46" i="11"/>
  <c r="D27" i="11"/>
  <c r="D32" i="11"/>
  <c r="D24" i="11"/>
  <c r="C43" i="10"/>
  <c r="D43" i="10"/>
  <c r="E43" i="10"/>
  <c r="D33" i="11"/>
  <c r="D34" i="11"/>
  <c r="D45" i="11"/>
  <c r="D48" i="11"/>
  <c r="D8" i="6"/>
  <c r="D7" i="9"/>
  <c r="D23" i="6"/>
  <c r="D9" i="9"/>
  <c r="C44" i="10"/>
  <c r="D44" i="10"/>
  <c r="E44" i="10"/>
  <c r="D16" i="9"/>
  <c r="D29" i="6"/>
  <c r="D12" i="9"/>
  <c r="D13" i="9"/>
  <c r="D12" i="6"/>
  <c r="C45" i="10"/>
  <c r="D45" i="10"/>
  <c r="E45" i="10"/>
  <c r="D28" i="6"/>
  <c r="D30" i="6"/>
  <c r="D8" i="9"/>
  <c r="C46" i="10"/>
  <c r="D46" i="10"/>
  <c r="E46" i="10"/>
  <c r="C47" i="10"/>
  <c r="D47" i="10"/>
  <c r="E47" i="10"/>
  <c r="C48" i="10"/>
  <c r="D48" i="10"/>
  <c r="E48" i="10"/>
  <c r="C49" i="10"/>
  <c r="D49" i="10"/>
  <c r="E49" i="10"/>
  <c r="C50" i="10"/>
  <c r="D50" i="10"/>
  <c r="E50" i="10"/>
  <c r="C51" i="10"/>
  <c r="D51" i="10"/>
  <c r="E51" i="10"/>
  <c r="C52" i="10"/>
  <c r="D52" i="10"/>
  <c r="E52" i="10"/>
  <c r="C53" i="10"/>
  <c r="D53" i="10"/>
  <c r="E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1" i="10"/>
  <c r="D71" i="10"/>
  <c r="E71" i="10"/>
  <c r="C72" i="10"/>
  <c r="D72" i="10"/>
  <c r="E72" i="10"/>
  <c r="C73" i="10"/>
  <c r="D73" i="10"/>
  <c r="E73" i="10"/>
  <c r="C74" i="10"/>
  <c r="D74" i="10"/>
  <c r="E74" i="10"/>
  <c r="C75" i="10"/>
  <c r="D75" i="10"/>
  <c r="E75" i="10"/>
  <c r="C76" i="10"/>
  <c r="D76" i="10"/>
  <c r="E76" i="10"/>
  <c r="C77" i="10"/>
  <c r="D77" i="10"/>
  <c r="E77" i="10"/>
  <c r="C78" i="10"/>
  <c r="D78" i="10"/>
  <c r="E78" i="10"/>
  <c r="C79" i="10"/>
  <c r="D79" i="10"/>
  <c r="E79" i="10"/>
  <c r="C80" i="10"/>
  <c r="D80" i="10"/>
  <c r="E80" i="10"/>
  <c r="C81" i="10"/>
  <c r="D81" i="10"/>
  <c r="E81" i="10"/>
  <c r="C82" i="10"/>
  <c r="D82" i="10"/>
  <c r="E82" i="10"/>
  <c r="C83" i="10"/>
  <c r="D83" i="10"/>
  <c r="E83" i="10"/>
  <c r="C84" i="10"/>
  <c r="D84" i="10"/>
  <c r="E84" i="10"/>
  <c r="C85" i="10"/>
  <c r="D85" i="10"/>
  <c r="E85" i="10"/>
  <c r="C86" i="10"/>
  <c r="D86" i="10"/>
  <c r="E86" i="10"/>
  <c r="C87" i="10"/>
  <c r="D87" i="10"/>
  <c r="E87" i="10"/>
  <c r="C88" i="10"/>
  <c r="D88" i="10"/>
  <c r="E88" i="10"/>
  <c r="C89" i="10"/>
  <c r="D89" i="10"/>
  <c r="E89" i="10"/>
  <c r="C90" i="10"/>
  <c r="D90" i="10"/>
  <c r="E90" i="10"/>
  <c r="C91" i="10"/>
  <c r="D91" i="10"/>
  <c r="E91" i="10"/>
  <c r="C92" i="10"/>
  <c r="D92" i="10"/>
  <c r="E92" i="10"/>
  <c r="C93" i="10"/>
  <c r="D93" i="10"/>
  <c r="E93" i="10"/>
  <c r="C94" i="10"/>
  <c r="D94" i="10"/>
  <c r="E94" i="10"/>
  <c r="C95" i="10"/>
  <c r="D95" i="10"/>
  <c r="E95" i="10"/>
  <c r="C96" i="10"/>
  <c r="D96" i="10"/>
  <c r="E96" i="10"/>
  <c r="C97" i="10"/>
  <c r="D97" i="10"/>
  <c r="E97" i="10"/>
  <c r="C98" i="10"/>
  <c r="D98" i="10"/>
  <c r="E98" i="10"/>
  <c r="C99" i="10"/>
  <c r="D99" i="10"/>
  <c r="E99" i="10"/>
  <c r="C100" i="10"/>
  <c r="D100" i="10"/>
  <c r="E100" i="10"/>
  <c r="C101" i="10"/>
  <c r="D101" i="10"/>
  <c r="E101" i="10"/>
  <c r="C102" i="10"/>
  <c r="D102" i="10"/>
  <c r="E102" i="10"/>
  <c r="C103" i="10"/>
  <c r="D103" i="10"/>
  <c r="E103" i="10"/>
  <c r="C104" i="10"/>
  <c r="D104" i="10"/>
  <c r="E104" i="10"/>
  <c r="C105" i="10"/>
  <c r="D105" i="10"/>
  <c r="E105" i="10"/>
  <c r="C106" i="10"/>
  <c r="D106" i="10"/>
  <c r="E106" i="10"/>
  <c r="C107" i="10"/>
  <c r="D107" i="10"/>
  <c r="E107" i="10"/>
  <c r="C108" i="10"/>
  <c r="D108" i="10"/>
  <c r="E108" i="10"/>
  <c r="C109" i="10"/>
  <c r="D109" i="10"/>
  <c r="E109" i="10"/>
  <c r="C110" i="10"/>
  <c r="D110" i="10"/>
  <c r="E110" i="10"/>
  <c r="C111" i="10"/>
  <c r="D111" i="10"/>
  <c r="E111" i="10"/>
  <c r="C112" i="10"/>
  <c r="D112" i="10"/>
  <c r="E112" i="10"/>
  <c r="C113" i="10"/>
  <c r="D113" i="10"/>
  <c r="E113" i="10"/>
  <c r="C114" i="10"/>
  <c r="D114" i="10"/>
  <c r="E114" i="10"/>
  <c r="C115" i="10"/>
  <c r="D115" i="10"/>
  <c r="E115" i="10"/>
  <c r="C116" i="10"/>
  <c r="D116" i="10"/>
  <c r="E116" i="10"/>
  <c r="C117" i="10"/>
  <c r="D117" i="10"/>
  <c r="E117" i="10"/>
  <c r="C118" i="10"/>
  <c r="D118" i="10"/>
  <c r="E118" i="10"/>
  <c r="C119" i="10"/>
  <c r="D119" i="10"/>
  <c r="E119" i="10"/>
  <c r="C120" i="10"/>
  <c r="D120" i="10"/>
  <c r="E120" i="10"/>
  <c r="C121" i="10"/>
  <c r="D121" i="10"/>
  <c r="E121" i="10"/>
  <c r="C122" i="10"/>
  <c r="D122" i="10"/>
  <c r="E122" i="10"/>
  <c r="C123" i="10"/>
  <c r="D123" i="10"/>
  <c r="E123" i="10"/>
  <c r="C124" i="10"/>
  <c r="D124" i="10"/>
  <c r="E124" i="10"/>
  <c r="C125" i="10"/>
  <c r="D125" i="10"/>
  <c r="E125" i="10"/>
  <c r="C126" i="10"/>
  <c r="D126" i="10"/>
  <c r="E126" i="10"/>
  <c r="C127" i="10"/>
  <c r="D127" i="10"/>
  <c r="E127" i="10"/>
  <c r="C128" i="10"/>
  <c r="D128" i="10"/>
  <c r="E128" i="10"/>
  <c r="C129" i="10"/>
  <c r="D129" i="10"/>
  <c r="E129" i="10"/>
  <c r="C130" i="10"/>
  <c r="D130" i="10"/>
  <c r="E130" i="10"/>
  <c r="C131" i="10"/>
  <c r="D131" i="10"/>
  <c r="E131" i="10"/>
  <c r="C132" i="10"/>
  <c r="D132" i="10"/>
  <c r="E132" i="10"/>
  <c r="C133" i="10"/>
  <c r="D133" i="10"/>
  <c r="E133" i="10"/>
  <c r="C134" i="10"/>
  <c r="D134" i="10"/>
  <c r="E134" i="10"/>
  <c r="C135" i="10"/>
  <c r="D135" i="10"/>
  <c r="E135" i="10"/>
  <c r="C136" i="10"/>
  <c r="D136" i="10"/>
  <c r="E136" i="10"/>
  <c r="C137" i="10"/>
  <c r="D137" i="10"/>
  <c r="E137" i="10"/>
  <c r="C138" i="10"/>
  <c r="D138" i="10"/>
  <c r="E138" i="10"/>
  <c r="C139" i="10"/>
  <c r="D139" i="10"/>
  <c r="E139" i="10"/>
  <c r="C140" i="10"/>
  <c r="D140" i="10"/>
  <c r="E140" i="10"/>
  <c r="C141" i="10"/>
  <c r="D141" i="10"/>
  <c r="E141" i="10"/>
  <c r="C142" i="10"/>
  <c r="D142" i="10"/>
  <c r="E142" i="10"/>
  <c r="C143" i="10"/>
  <c r="D143" i="10"/>
  <c r="E143" i="10"/>
  <c r="C144" i="10"/>
  <c r="D144" i="10"/>
  <c r="E144" i="10"/>
  <c r="C145" i="10"/>
  <c r="D145" i="10"/>
  <c r="E145" i="10"/>
  <c r="C146" i="10"/>
  <c r="D146" i="10"/>
  <c r="E146" i="10"/>
  <c r="C147" i="10"/>
  <c r="D147" i="10"/>
  <c r="E147" i="10"/>
  <c r="C148" i="10"/>
  <c r="D148" i="10"/>
  <c r="E148" i="10"/>
  <c r="C149" i="10"/>
  <c r="D149" i="10"/>
  <c r="E149" i="10"/>
  <c r="C150" i="10"/>
  <c r="D150" i="10"/>
  <c r="E150" i="10"/>
  <c r="C151" i="10"/>
  <c r="D151" i="10"/>
  <c r="E151" i="10"/>
  <c r="C152" i="10"/>
  <c r="D152" i="10"/>
  <c r="E152" i="10"/>
  <c r="C153" i="10"/>
  <c r="D153" i="10"/>
  <c r="E153" i="10"/>
  <c r="C154" i="10"/>
  <c r="D154" i="10"/>
  <c r="E154" i="10"/>
  <c r="C155" i="10"/>
  <c r="D155" i="10"/>
  <c r="E155" i="10"/>
  <c r="C156" i="10"/>
  <c r="D156" i="10"/>
  <c r="E156" i="10"/>
  <c r="C157" i="10"/>
  <c r="D157" i="10"/>
  <c r="E157" i="10"/>
  <c r="C158" i="10"/>
  <c r="D158" i="10"/>
  <c r="E158" i="10"/>
  <c r="C159" i="10"/>
  <c r="D159" i="10"/>
  <c r="E159" i="10"/>
  <c r="C160" i="10"/>
  <c r="D160" i="10"/>
  <c r="E160" i="10"/>
  <c r="C161" i="10"/>
  <c r="D161" i="10"/>
  <c r="E161" i="10"/>
  <c r="C162" i="10"/>
  <c r="D162" i="10"/>
  <c r="E162" i="10"/>
  <c r="C163" i="10"/>
  <c r="D163" i="10"/>
  <c r="E163" i="10"/>
  <c r="C164" i="10"/>
  <c r="D164" i="10"/>
  <c r="E164" i="10"/>
  <c r="C165" i="10"/>
  <c r="D165" i="10"/>
  <c r="E165" i="10"/>
  <c r="C166" i="10"/>
  <c r="D166" i="10"/>
  <c r="E166" i="10"/>
  <c r="C167" i="10"/>
  <c r="D167" i="10"/>
  <c r="E167" i="10"/>
  <c r="C168" i="10"/>
  <c r="D168" i="10"/>
  <c r="E168" i="10"/>
  <c r="C169" i="10"/>
  <c r="D169" i="10"/>
  <c r="E169" i="10"/>
  <c r="C170" i="10"/>
  <c r="D170" i="10"/>
  <c r="E170" i="10"/>
  <c r="C171" i="10"/>
  <c r="D171" i="10"/>
  <c r="E171" i="10"/>
  <c r="C172" i="10"/>
  <c r="D172" i="10"/>
  <c r="E172" i="10"/>
  <c r="C173" i="10"/>
  <c r="D173" i="10"/>
  <c r="E173" i="10"/>
  <c r="C174" i="10"/>
  <c r="D174" i="10"/>
  <c r="E174" i="10"/>
  <c r="C175" i="10"/>
  <c r="D175" i="10"/>
  <c r="E175" i="10"/>
  <c r="C176" i="10"/>
  <c r="D176" i="10"/>
  <c r="E176" i="10"/>
  <c r="C177" i="10"/>
  <c r="D177" i="10"/>
  <c r="E177" i="10"/>
  <c r="C178" i="10"/>
  <c r="D178" i="10"/>
  <c r="E178" i="10"/>
  <c r="C179" i="10"/>
  <c r="D179" i="10"/>
  <c r="E179" i="10"/>
  <c r="C180" i="10"/>
  <c r="D180" i="10"/>
  <c r="E180" i="10"/>
  <c r="C181" i="10"/>
  <c r="D181" i="10"/>
  <c r="E181" i="10"/>
  <c r="C182" i="10"/>
  <c r="D182" i="10"/>
  <c r="E182" i="10"/>
  <c r="C183" i="10"/>
  <c r="D183" i="10"/>
  <c r="E183" i="10"/>
  <c r="C184" i="10"/>
  <c r="D184" i="10"/>
  <c r="E184" i="10"/>
  <c r="C185" i="10"/>
  <c r="D185" i="10"/>
  <c r="E185" i="10"/>
  <c r="C186" i="10"/>
  <c r="D186" i="10"/>
  <c r="E186" i="10"/>
  <c r="C187" i="10"/>
  <c r="D187" i="10"/>
  <c r="E187" i="10"/>
  <c r="C188" i="10"/>
  <c r="D188" i="10"/>
  <c r="E188" i="10"/>
  <c r="C189" i="10"/>
  <c r="D189" i="10"/>
  <c r="E189" i="10"/>
  <c r="C190" i="10"/>
  <c r="D190" i="10"/>
  <c r="E190" i="10"/>
  <c r="C191" i="10"/>
  <c r="D191" i="10"/>
  <c r="E191" i="10"/>
  <c r="C192" i="10"/>
  <c r="D192" i="10"/>
  <c r="E192" i="10"/>
  <c r="C193" i="10"/>
  <c r="D193" i="10"/>
  <c r="E193" i="10"/>
  <c r="C194" i="10"/>
  <c r="D194" i="10"/>
  <c r="E194" i="10"/>
  <c r="C195" i="10"/>
  <c r="D195" i="10"/>
  <c r="E195" i="10"/>
  <c r="C196" i="10"/>
  <c r="D196" i="10"/>
  <c r="E196" i="10"/>
  <c r="C197" i="10"/>
  <c r="D197" i="10"/>
  <c r="E197" i="10"/>
  <c r="C198" i="10"/>
  <c r="D198" i="10"/>
  <c r="E198" i="10"/>
  <c r="C199" i="10"/>
  <c r="D199" i="10"/>
  <c r="E199" i="10"/>
  <c r="C200" i="10"/>
  <c r="D200" i="10"/>
  <c r="E200" i="10"/>
  <c r="C201" i="10"/>
  <c r="D201" i="10"/>
  <c r="E201" i="10"/>
  <c r="C202" i="10"/>
  <c r="D202" i="10"/>
  <c r="E202" i="10"/>
  <c r="C203" i="10"/>
  <c r="D203" i="10"/>
  <c r="E203" i="10"/>
  <c r="C204" i="10"/>
  <c r="D204" i="10"/>
  <c r="E204" i="10"/>
  <c r="C205" i="10"/>
  <c r="D205" i="10"/>
  <c r="E205" i="10"/>
  <c r="C206" i="10"/>
  <c r="D206" i="10"/>
  <c r="E206" i="10"/>
  <c r="C207" i="10"/>
  <c r="D207" i="10"/>
  <c r="E207" i="10"/>
  <c r="C208" i="10"/>
  <c r="D208" i="10"/>
  <c r="E208" i="10"/>
  <c r="C209" i="10"/>
  <c r="D209" i="10"/>
  <c r="E209" i="10"/>
  <c r="C210" i="10"/>
  <c r="D210" i="10"/>
  <c r="E210" i="10"/>
  <c r="C211" i="10"/>
  <c r="D211" i="10"/>
  <c r="E211" i="10"/>
  <c r="C212" i="10"/>
  <c r="D212" i="10"/>
  <c r="E212" i="10"/>
  <c r="C213" i="10"/>
  <c r="D213" i="10"/>
  <c r="E213" i="10"/>
  <c r="C214" i="10"/>
  <c r="D214" i="10"/>
  <c r="E214" i="10"/>
  <c r="C215" i="10"/>
  <c r="D215" i="10"/>
  <c r="E215" i="10"/>
  <c r="C216" i="10"/>
  <c r="D216" i="10"/>
  <c r="E216" i="10"/>
  <c r="C217" i="10"/>
  <c r="D217" i="10"/>
  <c r="E217" i="10"/>
  <c r="C218" i="10"/>
  <c r="D218" i="10"/>
  <c r="E218" i="10"/>
  <c r="C219" i="10"/>
  <c r="D219" i="10"/>
  <c r="E219" i="10"/>
  <c r="C220" i="10"/>
  <c r="D220" i="10"/>
  <c r="E220" i="10"/>
  <c r="C221" i="10"/>
  <c r="D221" i="10"/>
  <c r="E221" i="10"/>
  <c r="C222" i="10"/>
  <c r="D222" i="10"/>
  <c r="E222" i="10"/>
  <c r="C223" i="10"/>
  <c r="D223" i="10"/>
  <c r="E223" i="10"/>
  <c r="C224" i="10"/>
  <c r="D224" i="10"/>
  <c r="E224" i="10"/>
  <c r="C225" i="10"/>
  <c r="D225" i="10"/>
  <c r="E225" i="10"/>
  <c r="C226" i="10"/>
  <c r="D226" i="10"/>
  <c r="E226" i="10"/>
  <c r="C227" i="10"/>
  <c r="D227" i="10"/>
  <c r="E227" i="10"/>
  <c r="C228" i="10"/>
  <c r="D228" i="10"/>
  <c r="E228" i="10"/>
  <c r="C229" i="10"/>
  <c r="D229" i="10"/>
  <c r="E229" i="10"/>
  <c r="C230" i="10"/>
  <c r="D230" i="10"/>
  <c r="E230" i="10"/>
  <c r="C231" i="10"/>
  <c r="D231" i="10"/>
  <c r="E231" i="10"/>
  <c r="C232" i="10"/>
  <c r="D232" i="10"/>
  <c r="E232" i="10"/>
  <c r="C233" i="10"/>
  <c r="D233" i="10"/>
  <c r="E233" i="10"/>
  <c r="C234" i="10"/>
  <c r="D234" i="10"/>
  <c r="E234" i="10"/>
  <c r="C235" i="10"/>
  <c r="D235" i="10"/>
  <c r="E235" i="10"/>
  <c r="C236" i="10"/>
  <c r="D236" i="10"/>
  <c r="E236" i="10"/>
  <c r="C237" i="10"/>
  <c r="D237" i="10"/>
  <c r="E237" i="10"/>
  <c r="C238" i="10"/>
  <c r="D238" i="10"/>
  <c r="E238" i="10"/>
  <c r="C239" i="10"/>
  <c r="D239" i="10"/>
  <c r="E239" i="10"/>
  <c r="C240" i="10"/>
  <c r="D240" i="10"/>
  <c r="E240" i="10"/>
  <c r="C241" i="10"/>
  <c r="D241" i="10"/>
  <c r="E241" i="10"/>
  <c r="C242" i="10"/>
  <c r="D242" i="10"/>
  <c r="E242" i="10"/>
  <c r="C243" i="10"/>
  <c r="D243" i="10"/>
  <c r="E243" i="10"/>
  <c r="C244" i="10"/>
  <c r="D244" i="10"/>
  <c r="E244" i="10"/>
  <c r="C245" i="10"/>
  <c r="D245" i="10"/>
  <c r="E245" i="10"/>
  <c r="H11" i="10"/>
</calcChain>
</file>

<file path=xl/sharedStrings.xml><?xml version="1.0" encoding="utf-8"?>
<sst xmlns="http://schemas.openxmlformats.org/spreadsheetml/2006/main" count="270" uniqueCount="156">
  <si>
    <t>Total</t>
  </si>
  <si>
    <t>Other</t>
  </si>
  <si>
    <t>Year 1</t>
  </si>
  <si>
    <t>Year 2</t>
  </si>
  <si>
    <t>Year 3</t>
  </si>
  <si>
    <t xml:space="preserve">   Total</t>
  </si>
  <si>
    <t>List of Startup Costs</t>
  </si>
  <si>
    <t>Item</t>
  </si>
  <si>
    <t>Cost</t>
  </si>
  <si>
    <t xml:space="preserve">   Supplies</t>
  </si>
  <si>
    <t xml:space="preserve">   Legal &amp; Accounting Expenses</t>
  </si>
  <si>
    <t>Start-Up Assets</t>
  </si>
  <si>
    <t xml:space="preserve">     Furniture &amp; Fixtures</t>
  </si>
  <si>
    <t xml:space="preserve">     Other</t>
  </si>
  <si>
    <t>Total Start-Up Assets</t>
  </si>
  <si>
    <t>Total Start-Up Requirements</t>
  </si>
  <si>
    <t>Sources of Funds</t>
  </si>
  <si>
    <t xml:space="preserve">   Debt</t>
  </si>
  <si>
    <t xml:space="preserve">Total </t>
  </si>
  <si>
    <t>Projected (Pro Forma) Income Statement</t>
  </si>
  <si>
    <t>Sales</t>
  </si>
  <si>
    <t>Cost of Goods Sold</t>
  </si>
  <si>
    <t>Gross Profit</t>
  </si>
  <si>
    <t>Fixed Operating Costs:</t>
  </si>
  <si>
    <t xml:space="preserve">   Insurance</t>
  </si>
  <si>
    <t xml:space="preserve">   Salaries</t>
  </si>
  <si>
    <t>Salary breakdown can be seen on "Wage Schedule" sheet</t>
  </si>
  <si>
    <t xml:space="preserve">   Legal &amp; Accounting</t>
  </si>
  <si>
    <t>Assume $2,000 in annual accounting expenses plus legal fees in Year 1.</t>
  </si>
  <si>
    <t xml:space="preserve">   Other</t>
  </si>
  <si>
    <t xml:space="preserve">   Depreciation</t>
  </si>
  <si>
    <t>Assumptions concerning depreciation can be seen on "Depreciation Schedule" sheet</t>
  </si>
  <si>
    <t>Total Fixed Operating Costs</t>
  </si>
  <si>
    <t>Operating Income</t>
  </si>
  <si>
    <t>Interest Expense</t>
  </si>
  <si>
    <t>Taxes</t>
  </si>
  <si>
    <t>Net Profit (Loss)</t>
  </si>
  <si>
    <t>Projected (Pro Forma) Balance Sheet</t>
  </si>
  <si>
    <t xml:space="preserve">Note: All balance sheet data for Year 1-Year 3 is for year-end. </t>
  </si>
  <si>
    <t>Assets</t>
  </si>
  <si>
    <t xml:space="preserve">     Cash</t>
  </si>
  <si>
    <t xml:space="preserve">     Accounts Receivable</t>
  </si>
  <si>
    <t xml:space="preserve">     Inventory</t>
  </si>
  <si>
    <t xml:space="preserve">  Total Current Assets</t>
  </si>
  <si>
    <t xml:space="preserve">      Long-Term Assets</t>
  </si>
  <si>
    <t xml:space="preserve">     Accumulated Depreciation</t>
  </si>
  <si>
    <t xml:space="preserve"> Net Long-Term Assets</t>
  </si>
  <si>
    <t>Total Assets</t>
  </si>
  <si>
    <t>Liabilities</t>
  </si>
  <si>
    <t xml:space="preserve">     Accounts Payable</t>
  </si>
  <si>
    <t>Total Current Liabilities</t>
  </si>
  <si>
    <t xml:space="preserve">     Long-Term Debt</t>
  </si>
  <si>
    <t>Total Long-Term Liabilities</t>
  </si>
  <si>
    <t>Total Liabilities</t>
  </si>
  <si>
    <t>Owner's Equity</t>
  </si>
  <si>
    <t xml:space="preserve">     Paid in Capital</t>
  </si>
  <si>
    <t xml:space="preserve">     Retained Earnings</t>
  </si>
  <si>
    <t xml:space="preserve">These are earnings that have been kept in the business instead of being paid out in dividends.  </t>
  </si>
  <si>
    <t>Total Owner's Equity</t>
  </si>
  <si>
    <t>Check</t>
  </si>
  <si>
    <t>Difference (Should be $0)</t>
  </si>
  <si>
    <t>Often when you make a mistake, your balance sheet will become out of balance.  When assets - liabilities are not equal to the owner's equity, this indicates a problem.</t>
  </si>
  <si>
    <t>Depreciation Schedule</t>
  </si>
  <si>
    <t>Purchase Price by Year</t>
  </si>
  <si>
    <t>Asset</t>
  </si>
  <si>
    <t>Useful Life</t>
  </si>
  <si>
    <t>Total Nondepreciated Assets by Year</t>
  </si>
  <si>
    <t>Depreciaton by Year</t>
  </si>
  <si>
    <t>CGS Total</t>
  </si>
  <si>
    <t xml:space="preserve">     Tools</t>
  </si>
  <si>
    <t xml:space="preserve">     Display Products/Models</t>
  </si>
  <si>
    <t xml:space="preserve">     Security Equipment</t>
  </si>
  <si>
    <t xml:space="preserve">   Website Development</t>
  </si>
  <si>
    <t>Total Equity</t>
  </si>
  <si>
    <t>Contribution: Investor (30% stake)</t>
  </si>
  <si>
    <t>Period</t>
  </si>
  <si>
    <t>Years</t>
  </si>
  <si>
    <t>Months</t>
  </si>
  <si>
    <t>Interest Rate</t>
  </si>
  <si>
    <t>Total Interest Paid</t>
  </si>
  <si>
    <t>Loan Amount</t>
  </si>
  <si>
    <t>Payment</t>
  </si>
  <si>
    <t>Interest</t>
  </si>
  <si>
    <t>Principle</t>
  </si>
  <si>
    <t>Loan Balance</t>
  </si>
  <si>
    <t>Monthy Payment</t>
  </si>
  <si>
    <t>Liabilities + Equity</t>
  </si>
  <si>
    <t>Profitability</t>
  </si>
  <si>
    <t>Liquidity</t>
  </si>
  <si>
    <t>Leverage</t>
  </si>
  <si>
    <t>Operating</t>
  </si>
  <si>
    <t>Gross Profit Margin</t>
  </si>
  <si>
    <t>Net Profit Margin (ROS)</t>
  </si>
  <si>
    <t>Return on Assets</t>
  </si>
  <si>
    <t>Return on Equity</t>
  </si>
  <si>
    <t>Current Ratio</t>
  </si>
  <si>
    <t>Quick Ratio</t>
  </si>
  <si>
    <t>Debt-to-Equity Ratio</t>
  </si>
  <si>
    <t>Inventory Turnover</t>
  </si>
  <si>
    <t>Cost of Goods Sold %</t>
  </si>
  <si>
    <t xml:space="preserve">     Other Computers &amp; Software</t>
  </si>
  <si>
    <t xml:space="preserve">   Utilities</t>
  </si>
  <si>
    <t xml:space="preserve">     RC Track</t>
  </si>
  <si>
    <t xml:space="preserve">   Rent</t>
  </si>
  <si>
    <t>.20 per square foot per month</t>
  </si>
  <si>
    <t xml:space="preserve">     Signage</t>
  </si>
  <si>
    <r>
      <t xml:space="preserve">    </t>
    </r>
    <r>
      <rPr>
        <sz val="11"/>
        <color theme="1"/>
        <rFont val="Calibri"/>
        <family val="2"/>
        <scheme val="minor"/>
      </rPr>
      <t>Building</t>
    </r>
    <r>
      <rPr>
        <b/>
        <i/>
        <sz val="11"/>
        <color theme="1"/>
        <rFont val="Calibri"/>
        <family val="2"/>
        <scheme val="minor"/>
      </rPr>
      <t xml:space="preserve"> </t>
    </r>
    <r>
      <rPr>
        <sz val="11"/>
        <color theme="1"/>
        <rFont val="Calibri"/>
        <family val="2"/>
        <scheme val="minor"/>
      </rPr>
      <t xml:space="preserve">Improvements </t>
    </r>
  </si>
  <si>
    <t>Working Capital Requirements</t>
  </si>
  <si>
    <t xml:space="preserve">     Point of Sale Hardware &amp; Software</t>
  </si>
  <si>
    <t>Ohio Valley Hobbies</t>
  </si>
  <si>
    <t>Sales Forecast</t>
  </si>
  <si>
    <t>Loan Amortization</t>
  </si>
  <si>
    <t>Ratio Analysis</t>
  </si>
  <si>
    <t>Product Category</t>
  </si>
  <si>
    <t xml:space="preserve">     Deferred Compensation</t>
  </si>
  <si>
    <t xml:space="preserve">   Promotion</t>
  </si>
  <si>
    <t>Cost of Goods Sold % Sales</t>
  </si>
  <si>
    <t>Breakeven Sales</t>
  </si>
  <si>
    <t>Gross Profit % Sales</t>
  </si>
  <si>
    <t>To calculate, I first added together the fixed cost in the parantheses.  Then I divided this number by "Gross Profit % Sales"</t>
  </si>
  <si>
    <t>Breakeven Check</t>
  </si>
  <si>
    <t>To make sure you did it correctly, you can plug the "breakeven sales" value in for revenue and see if net income equals zero.</t>
  </si>
  <si>
    <t>Breakeven Analysis</t>
  </si>
  <si>
    <t xml:space="preserve">Cost of Good Sold should be some percentage of sales.  I do a more complex estimation  </t>
  </si>
  <si>
    <t>by product category- see Sales Forecast sheet.</t>
  </si>
  <si>
    <t>Sales figure should come from the sales forecast.</t>
  </si>
  <si>
    <t>$8 square feet * 5,000 square feet (60 month lease)  NOTE:  This is not universal, it is based on a specific location being considered.</t>
  </si>
  <si>
    <t>This is based on the loan balance and the interest rate- See "Loan Amortization" sheet</t>
  </si>
  <si>
    <t>Assume OVH has no credit (store credit) sales</t>
  </si>
  <si>
    <t>This is the amount of inventory that will be on hand at year end.</t>
  </si>
  <si>
    <t>This is simply the purchase price of all assets purchased for the business that are still in use.</t>
  </si>
  <si>
    <t xml:space="preserve">Depreciation on the above assets.  See "Depreciation Schedule." </t>
  </si>
  <si>
    <t>LT Assets - Depreciation = Net LT  Assets</t>
  </si>
  <si>
    <t>Assume OVH has two months of inventory purchases they have not paid for yet (purchased on credit)</t>
  </si>
  <si>
    <t xml:space="preserve">This is loan balance of the $80,000 loan taken out to fund the business.  It becomes smaller each year as some of the principal (do not subtract interest paid) of the loan is paid </t>
  </si>
  <si>
    <t>The owner/manger is deferring $20,000 per year of his salary to be paid at a later date.  This is a liability.</t>
  </si>
  <si>
    <t>This is the amount of money invested in the business by the owner(s).  It is increasing here because the owners are forced to contrbute additional capital since OVH has such large negative earnings and cash flow.</t>
  </si>
  <si>
    <t>The useful life is how long the asset will be used by the business.</t>
  </si>
  <si>
    <t>This schedule assumes the assets will have no salvage value.</t>
  </si>
  <si>
    <t>Assume 30% tax rate (state &amp; federal income tax).  Taxes are $0 when firm is losing money.</t>
  </si>
  <si>
    <t>Expenses</t>
  </si>
  <si>
    <t xml:space="preserve">   Rent &amp; Utilities (First 6 months)</t>
  </si>
  <si>
    <t xml:space="preserve">   Insurance  (First 6 months)</t>
  </si>
  <si>
    <t xml:space="preserve">   Utilities (First 6 months)</t>
  </si>
  <si>
    <t xml:space="preserve">   Marketing (First 6 months)</t>
  </si>
  <si>
    <t xml:space="preserve">    Beginning Inventory</t>
  </si>
  <si>
    <t xml:space="preserve">   Salaries &amp; Wages</t>
  </si>
  <si>
    <t xml:space="preserve">   Salaries &amp; Wages (First 6 months)</t>
  </si>
  <si>
    <t>Ski The Mitten</t>
  </si>
  <si>
    <t xml:space="preserve">   Car Vinyl Wrap</t>
  </si>
  <si>
    <t>Contribution: Collin Wheeler/Jeff Arlen</t>
  </si>
  <si>
    <t>Hoodies</t>
  </si>
  <si>
    <t>T Shirts</t>
  </si>
  <si>
    <t>Vinyl Stickers</t>
  </si>
  <si>
    <t>DVD's</t>
  </si>
  <si>
    <t>Collin Wheeler &amp; Tim Hopp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</si>
</sst>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409]#,##0_);[Red]\([$$-409]#,##0\)"/>
    <numFmt numFmtId="168" formatCode="_(&quot;$&quot;* #,##0_);_(&quot;$&quot;* \(#,##0\);_(&quot;$&quot;* &quot;-&quot;??_);_(@_)"/>
    <numFmt numFmtId="169" formatCode="_([$$-409]* #,##0_);_([$$-409]* \(#,##0\);_([$$-409]* &quot;-&quot;??_);_(@_)"/>
    <numFmt numFmtId="170" formatCode="0.0%"/>
  </numFmts>
  <fonts count="7" x14ac:knownFonts="1">
    <font>
      <sz val="11"/>
      <color theme="1"/>
      <name val="Calibri"/>
      <family val="2"/>
      <scheme val="minor"/>
    </font>
    <font>
      <b/>
      <u/>
      <sz val="11"/>
      <color theme="1"/>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right/>
      <top style="medium">
        <color auto="1"/>
      </top>
      <bottom style="double">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64">
    <xf numFmtId="0" fontId="0" fillId="0" borderId="0" xfId="0"/>
    <xf numFmtId="0" fontId="1"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2" fillId="0" borderId="0" xfId="0" applyFont="1"/>
    <xf numFmtId="0" fontId="4" fillId="0" borderId="0" xfId="0" applyFont="1"/>
    <xf numFmtId="0" fontId="4" fillId="0" borderId="0" xfId="0" applyFont="1" applyAlignment="1">
      <alignment horizontal="center"/>
    </xf>
    <xf numFmtId="164" fontId="0" fillId="0" borderId="0" xfId="0" applyNumberFormat="1"/>
    <xf numFmtId="165" fontId="0" fillId="0" borderId="0" xfId="1" applyNumberFormat="1" applyFont="1" applyBorder="1"/>
    <xf numFmtId="165" fontId="0" fillId="0" borderId="1" xfId="1" applyNumberFormat="1" applyFont="1" applyBorder="1"/>
    <xf numFmtId="165" fontId="0" fillId="0" borderId="0" xfId="1" applyNumberFormat="1" applyFont="1"/>
    <xf numFmtId="165" fontId="4" fillId="0" borderId="0" xfId="1" applyNumberFormat="1" applyFont="1"/>
    <xf numFmtId="38" fontId="0" fillId="0" borderId="0" xfId="0" applyNumberFormat="1"/>
    <xf numFmtId="165" fontId="0" fillId="0" borderId="2" xfId="1" applyNumberFormat="1" applyFont="1" applyBorder="1"/>
    <xf numFmtId="165" fontId="0" fillId="0" borderId="3" xfId="1" applyNumberFormat="1" applyFont="1" applyBorder="1"/>
    <xf numFmtId="165" fontId="4" fillId="0" borderId="4" xfId="1" applyNumberFormat="1" applyFont="1" applyBorder="1"/>
    <xf numFmtId="6" fontId="0" fillId="0" borderId="0" xfId="0" applyNumberFormat="1"/>
    <xf numFmtId="6" fontId="0" fillId="0" borderId="1" xfId="0" applyNumberFormat="1" applyFill="1" applyBorder="1"/>
    <xf numFmtId="0" fontId="0" fillId="0" borderId="0" xfId="0" applyFont="1"/>
    <xf numFmtId="6" fontId="0" fillId="0" borderId="1" xfId="0" applyNumberFormat="1" applyBorder="1"/>
    <xf numFmtId="6" fontId="4" fillId="0" borderId="0" xfId="0" applyNumberFormat="1" applyFont="1"/>
    <xf numFmtId="0" fontId="1" fillId="0" borderId="0" xfId="0" applyFont="1" applyBorder="1" applyAlignment="1">
      <alignment horizontal="center"/>
    </xf>
    <xf numFmtId="6" fontId="0" fillId="0" borderId="2" xfId="0" applyNumberFormat="1" applyBorder="1"/>
    <xf numFmtId="6" fontId="4" fillId="0" borderId="0" xfId="0" applyNumberFormat="1" applyFont="1" applyBorder="1"/>
    <xf numFmtId="6" fontId="0" fillId="0" borderId="3" xfId="0" applyNumberFormat="1" applyFill="1" applyBorder="1"/>
    <xf numFmtId="6" fontId="0" fillId="0" borderId="3" xfId="0" applyNumberFormat="1" applyBorder="1"/>
    <xf numFmtId="0" fontId="5" fillId="0" borderId="0" xfId="0" applyFont="1" applyAlignment="1">
      <alignment horizontal="center"/>
    </xf>
    <xf numFmtId="0" fontId="5" fillId="0" borderId="0" xfId="0" applyFont="1" applyBorder="1" applyAlignment="1">
      <alignment horizontal="center"/>
    </xf>
    <xf numFmtId="168" fontId="0" fillId="0" borderId="0" xfId="1" applyNumberFormat="1" applyFont="1"/>
    <xf numFmtId="10" fontId="0" fillId="0" borderId="0" xfId="2" applyNumberFormat="1" applyFont="1"/>
    <xf numFmtId="169" fontId="0" fillId="0" borderId="0" xfId="0" applyNumberFormat="1"/>
    <xf numFmtId="8" fontId="0" fillId="0" borderId="0" xfId="2" applyNumberFormat="1" applyFont="1"/>
    <xf numFmtId="0" fontId="0" fillId="0" borderId="0" xfId="0" applyFont="1" applyAlignment="1">
      <alignment horizontal="center"/>
    </xf>
    <xf numFmtId="168"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6" fillId="0" borderId="0" xfId="0" applyFont="1" applyFill="1" applyBorder="1" applyAlignment="1">
      <alignment horizontal="center"/>
    </xf>
    <xf numFmtId="10" fontId="0" fillId="0" borderId="0" xfId="2" applyNumberFormat="1" applyFont="1" applyAlignment="1">
      <alignment horizontal="center"/>
    </xf>
    <xf numFmtId="164" fontId="0" fillId="0" borderId="0" xfId="0" applyNumberFormat="1" applyBorder="1" applyAlignment="1">
      <alignment horizontal="center"/>
    </xf>
    <xf numFmtId="164" fontId="4" fillId="0" borderId="0" xfId="0" applyNumberFormat="1" applyFont="1" applyAlignment="1">
      <alignment horizontal="center"/>
    </xf>
    <xf numFmtId="164" fontId="4" fillId="0" borderId="2" xfId="0" applyNumberFormat="1" applyFont="1" applyBorder="1" applyAlignment="1">
      <alignment horizontal="center"/>
    </xf>
    <xf numFmtId="3" fontId="0" fillId="0" borderId="0" xfId="0" applyNumberFormat="1" applyAlignment="1">
      <alignment horizontal="center"/>
    </xf>
    <xf numFmtId="164" fontId="0" fillId="0" borderId="6" xfId="0" applyNumberFormat="1" applyBorder="1" applyAlignment="1">
      <alignment horizontal="center"/>
    </xf>
    <xf numFmtId="5" fontId="0" fillId="0" borderId="0" xfId="1" applyNumberFormat="1" applyFont="1" applyAlignment="1">
      <alignment horizontal="center"/>
    </xf>
    <xf numFmtId="5" fontId="0" fillId="0" borderId="6" xfId="0" applyNumberFormat="1" applyBorder="1" applyAlignment="1">
      <alignment horizontal="center"/>
    </xf>
    <xf numFmtId="2" fontId="0" fillId="0" borderId="0" xfId="0" applyNumberFormat="1" applyAlignment="1">
      <alignment horizontal="center"/>
    </xf>
    <xf numFmtId="0" fontId="2" fillId="0" borderId="0" xfId="0" applyFont="1" applyAlignment="1">
      <alignment horizontal="center"/>
    </xf>
    <xf numFmtId="0" fontId="2" fillId="0" borderId="0" xfId="0" applyFont="1" applyAlignment="1">
      <alignment horizontal="left"/>
    </xf>
    <xf numFmtId="0" fontId="1" fillId="0" borderId="7" xfId="0" applyFont="1" applyBorder="1"/>
    <xf numFmtId="0" fontId="1" fillId="0" borderId="5" xfId="0" applyFont="1" applyBorder="1" applyAlignment="1">
      <alignment horizontal="center"/>
    </xf>
    <xf numFmtId="0" fontId="1" fillId="0" borderId="8" xfId="0" applyFont="1" applyBorder="1" applyAlignment="1">
      <alignment horizontal="center"/>
    </xf>
    <xf numFmtId="0" fontId="0" fillId="0" borderId="9" xfId="0" applyBorder="1"/>
    <xf numFmtId="164" fontId="0" fillId="0" borderId="10" xfId="0" applyNumberFormat="1" applyBorder="1" applyAlignment="1">
      <alignment horizontal="center"/>
    </xf>
    <xf numFmtId="164" fontId="0" fillId="0" borderId="11" xfId="0" applyNumberFormat="1" applyBorder="1" applyAlignment="1">
      <alignment horizontal="center"/>
    </xf>
    <xf numFmtId="0" fontId="0" fillId="0" borderId="12" xfId="0" applyBorder="1"/>
    <xf numFmtId="164" fontId="5" fillId="0" borderId="0" xfId="0" applyNumberFormat="1" applyFont="1" applyBorder="1" applyAlignment="1">
      <alignment horizontal="center"/>
    </xf>
    <xf numFmtId="170" fontId="0" fillId="0" borderId="0" xfId="2" applyNumberFormat="1" applyFont="1" applyBorder="1"/>
    <xf numFmtId="10" fontId="4" fillId="0" borderId="0" xfId="2" applyNumberFormat="1" applyFont="1"/>
    <xf numFmtId="0" fontId="4" fillId="2" borderId="0" xfId="0" applyFont="1" applyFill="1"/>
    <xf numFmtId="165" fontId="4" fillId="2" borderId="0" xfId="0" applyNumberFormat="1" applyFont="1" applyFill="1"/>
    <xf numFmtId="5" fontId="0" fillId="0" borderId="0" xfId="1" applyNumberFormat="1" applyFont="1"/>
    <xf numFmtId="0" fontId="4" fillId="0" borderId="1" xfId="0" applyFont="1" applyBorder="1" applyAlignment="1">
      <alignment horizontal="center"/>
    </xf>
    <xf numFmtId="8" fontId="0" fillId="0" borderId="0" xfId="0" applyNumberFormat="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Winter%202012/MGT215/BP_Pro_Formal_FS2011%20%20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up Costs"/>
      <sheetName val="Sales Forecast"/>
      <sheetName val="IncomeStatement"/>
      <sheetName val="Statement of Cash Flows"/>
      <sheetName val="BalanceSheet"/>
      <sheetName val="Depreciation Schedule"/>
      <sheetName val="Wage Schedule"/>
    </sheetNames>
    <sheetDataSet>
      <sheetData sheetId="0"/>
      <sheetData sheetId="1"/>
      <sheetData sheetId="2"/>
      <sheetData sheetId="3">
        <row r="13">
          <cell r="C13">
            <v>0</v>
          </cell>
          <cell r="D13">
            <v>0</v>
          </cell>
        </row>
        <row r="14">
          <cell r="C14">
            <v>10000</v>
          </cell>
          <cell r="D14">
            <v>0</v>
          </cell>
        </row>
      </sheetData>
      <sheetData sheetId="4">
        <row r="16">
          <cell r="B16">
            <v>50000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abSelected="1" workbookViewId="0">
      <selection activeCell="A4" sqref="A4"/>
    </sheetView>
  </sheetViews>
  <sheetFormatPr baseColWidth="10" defaultColWidth="8.83203125" defaultRowHeight="14" x14ac:dyDescent="0"/>
  <cols>
    <col min="1" max="1" width="34" customWidth="1"/>
    <col min="2" max="2" width="17.1640625" customWidth="1"/>
  </cols>
  <sheetData>
    <row r="1" spans="1:2">
      <c r="A1" s="5" t="s">
        <v>148</v>
      </c>
    </row>
    <row r="2" spans="1:2">
      <c r="A2" s="5" t="s">
        <v>6</v>
      </c>
    </row>
    <row r="3" spans="1:2">
      <c r="A3" s="5" t="s">
        <v>155</v>
      </c>
    </row>
    <row r="4" spans="1:2">
      <c r="A4" s="6" t="s">
        <v>7</v>
      </c>
      <c r="B4" s="62" t="s">
        <v>8</v>
      </c>
    </row>
    <row r="5" spans="1:2">
      <c r="A5" s="5" t="s">
        <v>140</v>
      </c>
    </row>
    <row r="6" spans="1:2">
      <c r="A6" t="s">
        <v>141</v>
      </c>
      <c r="B6" s="3">
        <v>15000</v>
      </c>
    </row>
    <row r="7" spans="1:2">
      <c r="A7" s="19" t="s">
        <v>143</v>
      </c>
      <c r="B7" s="3">
        <v>5500</v>
      </c>
    </row>
    <row r="8" spans="1:2">
      <c r="A8" t="s">
        <v>142</v>
      </c>
      <c r="B8" s="3">
        <v>1100</v>
      </c>
    </row>
    <row r="9" spans="1:2">
      <c r="A9" t="s">
        <v>147</v>
      </c>
      <c r="B9" s="3">
        <v>35000</v>
      </c>
    </row>
    <row r="10" spans="1:2">
      <c r="A10" t="s">
        <v>144</v>
      </c>
      <c r="B10" s="3">
        <f>'Income Statement'!B13*0.5</f>
        <v>6000</v>
      </c>
    </row>
    <row r="11" spans="1:2">
      <c r="A11" t="s">
        <v>9</v>
      </c>
      <c r="B11" s="3">
        <v>3500</v>
      </c>
    </row>
    <row r="12" spans="1:2">
      <c r="A12" t="s">
        <v>72</v>
      </c>
      <c r="B12" s="3">
        <v>500</v>
      </c>
    </row>
    <row r="13" spans="1:2">
      <c r="A13" t="s">
        <v>10</v>
      </c>
      <c r="B13" s="56">
        <v>2000</v>
      </c>
    </row>
    <row r="14" spans="1:2">
      <c r="A14" s="5" t="s">
        <v>107</v>
      </c>
      <c r="B14" s="40">
        <f>SUM(B6:B13)</f>
        <v>68600</v>
      </c>
    </row>
    <row r="15" spans="1:2">
      <c r="B15" s="3"/>
    </row>
    <row r="16" spans="1:2">
      <c r="A16" s="5" t="s">
        <v>11</v>
      </c>
      <c r="B16" s="3"/>
    </row>
    <row r="17" spans="1:2">
      <c r="A17" s="19" t="s">
        <v>145</v>
      </c>
      <c r="B17" s="3">
        <v>4000</v>
      </c>
    </row>
    <row r="18" spans="1:2">
      <c r="A18" s="5" t="s">
        <v>106</v>
      </c>
      <c r="B18" s="3">
        <v>12000</v>
      </c>
    </row>
    <row r="19" spans="1:2">
      <c r="A19" s="19" t="s">
        <v>105</v>
      </c>
      <c r="B19" s="3">
        <v>4500</v>
      </c>
    </row>
    <row r="20" spans="1:2">
      <c r="A20" t="s">
        <v>12</v>
      </c>
      <c r="B20" s="3">
        <v>17000</v>
      </c>
    </row>
    <row r="21" spans="1:2">
      <c r="A21" t="s">
        <v>70</v>
      </c>
      <c r="B21" s="3">
        <v>6500</v>
      </c>
    </row>
    <row r="22" spans="1:2">
      <c r="A22" t="s">
        <v>108</v>
      </c>
      <c r="B22" s="3">
        <v>2500</v>
      </c>
    </row>
    <row r="23" spans="1:2">
      <c r="A23" t="s">
        <v>100</v>
      </c>
      <c r="B23" s="3">
        <v>3000</v>
      </c>
    </row>
    <row r="24" spans="1:2">
      <c r="A24" t="s">
        <v>69</v>
      </c>
      <c r="B24" s="3">
        <v>4200</v>
      </c>
    </row>
    <row r="25" spans="1:2">
      <c r="A25" t="s">
        <v>149</v>
      </c>
      <c r="B25" s="3">
        <v>1500</v>
      </c>
    </row>
    <row r="26" spans="1:2">
      <c r="A26" t="s">
        <v>71</v>
      </c>
      <c r="B26" s="3">
        <v>1200</v>
      </c>
    </row>
    <row r="27" spans="1:2">
      <c r="A27" t="s">
        <v>13</v>
      </c>
      <c r="B27" s="4">
        <v>3000</v>
      </c>
    </row>
    <row r="28" spans="1:2" ht="15" thickBot="1">
      <c r="A28" s="5" t="s">
        <v>14</v>
      </c>
      <c r="B28" s="41">
        <f>SUM(B17:B27)</f>
        <v>59400</v>
      </c>
    </row>
    <row r="29" spans="1:2">
      <c r="A29" s="5" t="s">
        <v>15</v>
      </c>
      <c r="B29" s="40">
        <f>B14+B28</f>
        <v>128000</v>
      </c>
    </row>
    <row r="30" spans="1:2">
      <c r="B30" s="3"/>
    </row>
    <row r="31" spans="1:2">
      <c r="A31" s="5" t="s">
        <v>16</v>
      </c>
      <c r="B31" s="42"/>
    </row>
    <row r="32" spans="1:2">
      <c r="A32" t="s">
        <v>150</v>
      </c>
      <c r="B32" s="3">
        <f>24000</f>
        <v>24000</v>
      </c>
    </row>
    <row r="33" spans="1:2">
      <c r="A33" s="19" t="s">
        <v>74</v>
      </c>
      <c r="B33" s="4">
        <f>18000</f>
        <v>18000</v>
      </c>
    </row>
    <row r="34" spans="1:2">
      <c r="A34" t="s">
        <v>73</v>
      </c>
      <c r="B34" s="3">
        <f>B36-B35</f>
        <v>48000</v>
      </c>
    </row>
    <row r="35" spans="1:2">
      <c r="A35" t="s">
        <v>17</v>
      </c>
      <c r="B35" s="4">
        <v>80000</v>
      </c>
    </row>
    <row r="36" spans="1:2" ht="15" thickBot="1">
      <c r="A36" s="6" t="s">
        <v>18</v>
      </c>
      <c r="B36" s="41">
        <f>B29</f>
        <v>128000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22" sqref="D22"/>
    </sheetView>
  </sheetViews>
  <sheetFormatPr baseColWidth="10" defaultColWidth="8.83203125" defaultRowHeight="14" x14ac:dyDescent="0"/>
  <cols>
    <col min="1" max="1" width="19.5" customWidth="1"/>
    <col min="2" max="2" width="11.83203125" customWidth="1"/>
    <col min="3" max="3" width="11.5" customWidth="1"/>
    <col min="4" max="4" width="11.6640625" customWidth="1"/>
  </cols>
  <sheetData>
    <row r="1" spans="1:4">
      <c r="A1" s="5" t="s">
        <v>148</v>
      </c>
    </row>
    <row r="2" spans="1:4">
      <c r="A2" s="5" t="s">
        <v>110</v>
      </c>
    </row>
    <row r="3" spans="1:4">
      <c r="A3" s="49" t="s">
        <v>113</v>
      </c>
      <c r="B3" s="50" t="s">
        <v>2</v>
      </c>
      <c r="C3" s="50" t="s">
        <v>3</v>
      </c>
      <c r="D3" s="51" t="s">
        <v>4</v>
      </c>
    </row>
    <row r="4" spans="1:4">
      <c r="A4" s="52" t="s">
        <v>151</v>
      </c>
      <c r="B4" s="39">
        <v>12000</v>
      </c>
      <c r="C4" s="39">
        <v>17000</v>
      </c>
      <c r="D4" s="53">
        <v>25000</v>
      </c>
    </row>
    <row r="5" spans="1:4">
      <c r="A5" s="52" t="s">
        <v>152</v>
      </c>
      <c r="B5" s="39">
        <v>14000</v>
      </c>
      <c r="C5" s="39">
        <v>18000</v>
      </c>
      <c r="D5" s="53">
        <v>27000</v>
      </c>
    </row>
    <row r="6" spans="1:4">
      <c r="A6" s="52" t="s">
        <v>153</v>
      </c>
      <c r="B6" s="39">
        <v>8000</v>
      </c>
      <c r="C6" s="39">
        <v>8000</v>
      </c>
      <c r="D6" s="53">
        <v>10000</v>
      </c>
    </row>
    <row r="7" spans="1:4">
      <c r="A7" s="52" t="s">
        <v>154</v>
      </c>
      <c r="B7" s="39">
        <v>0</v>
      </c>
      <c r="C7" s="39">
        <v>0</v>
      </c>
      <c r="D7" s="53">
        <v>15000</v>
      </c>
    </row>
    <row r="8" spans="1:4">
      <c r="A8" s="52" t="s">
        <v>1</v>
      </c>
      <c r="B8" s="39">
        <v>3000</v>
      </c>
      <c r="C8" s="39">
        <v>4200</v>
      </c>
      <c r="D8" s="53">
        <v>5600</v>
      </c>
    </row>
    <row r="9" spans="1:4">
      <c r="A9" s="55" t="s">
        <v>5</v>
      </c>
      <c r="B9" s="4">
        <f>SUM(B4:B8)</f>
        <v>37000</v>
      </c>
      <c r="C9" s="4">
        <f>SUM(C4:C8)</f>
        <v>47200</v>
      </c>
      <c r="D9" s="54">
        <f>SUM(D4:D8)</f>
        <v>82600</v>
      </c>
    </row>
    <row r="11" spans="1:4">
      <c r="A11" s="6" t="s">
        <v>99</v>
      </c>
    </row>
    <row r="12" spans="1:4">
      <c r="B12" s="1" t="s">
        <v>2</v>
      </c>
      <c r="C12" s="1" t="s">
        <v>3</v>
      </c>
      <c r="D12" s="1" t="s">
        <v>4</v>
      </c>
    </row>
    <row r="13" spans="1:4">
      <c r="A13" t="s">
        <v>151</v>
      </c>
      <c r="B13" s="38">
        <v>0.4</v>
      </c>
      <c r="C13" s="38">
        <v>0.4</v>
      </c>
      <c r="D13" s="38">
        <v>0.4</v>
      </c>
    </row>
    <row r="14" spans="1:4">
      <c r="A14" t="s">
        <v>152</v>
      </c>
      <c r="B14" s="38">
        <v>0.35</v>
      </c>
      <c r="C14" s="38">
        <v>0.35</v>
      </c>
      <c r="D14" s="38">
        <v>0.35</v>
      </c>
    </row>
    <row r="15" spans="1:4">
      <c r="A15" t="s">
        <v>153</v>
      </c>
      <c r="B15" s="38">
        <v>0.2</v>
      </c>
      <c r="C15" s="38">
        <v>0.2</v>
      </c>
      <c r="D15" s="38">
        <v>0.2</v>
      </c>
    </row>
    <row r="16" spans="1:4">
      <c r="A16" t="s">
        <v>154</v>
      </c>
      <c r="B16" s="38">
        <v>0.7</v>
      </c>
      <c r="C16" s="38">
        <v>0.7</v>
      </c>
      <c r="D16" s="38">
        <v>0.7</v>
      </c>
    </row>
    <row r="17" spans="1:4">
      <c r="A17" t="s">
        <v>1</v>
      </c>
      <c r="B17" s="38">
        <v>0.15</v>
      </c>
      <c r="C17" s="38">
        <v>0.15</v>
      </c>
      <c r="D17" s="38">
        <v>0.15</v>
      </c>
    </row>
    <row r="19" spans="1:4">
      <c r="A19" s="6" t="s">
        <v>68</v>
      </c>
    </row>
    <row r="20" spans="1:4">
      <c r="B20" s="1" t="s">
        <v>2</v>
      </c>
      <c r="C20" s="1" t="s">
        <v>3</v>
      </c>
      <c r="D20" s="1" t="s">
        <v>4</v>
      </c>
    </row>
    <row r="21" spans="1:4">
      <c r="A21" t="s">
        <v>151</v>
      </c>
      <c r="B21" s="3">
        <f t="shared" ref="B21:D25" si="0">B4*B13</f>
        <v>4800</v>
      </c>
      <c r="C21" s="3">
        <f t="shared" si="0"/>
        <v>6800</v>
      </c>
      <c r="D21" s="3">
        <f t="shared" si="0"/>
        <v>10000</v>
      </c>
    </row>
    <row r="22" spans="1:4">
      <c r="A22" t="s">
        <v>152</v>
      </c>
      <c r="B22" s="3">
        <f t="shared" si="0"/>
        <v>4900</v>
      </c>
      <c r="C22" s="3">
        <f t="shared" si="0"/>
        <v>6300</v>
      </c>
      <c r="D22" s="3">
        <f t="shared" si="0"/>
        <v>9450</v>
      </c>
    </row>
    <row r="23" spans="1:4">
      <c r="A23" t="s">
        <v>153</v>
      </c>
      <c r="B23" s="3">
        <f t="shared" si="0"/>
        <v>1600</v>
      </c>
      <c r="C23" s="3">
        <f t="shared" si="0"/>
        <v>1600</v>
      </c>
      <c r="D23" s="3">
        <f t="shared" si="0"/>
        <v>2000</v>
      </c>
    </row>
    <row r="24" spans="1:4">
      <c r="A24" t="s">
        <v>154</v>
      </c>
      <c r="B24" s="3">
        <f t="shared" si="0"/>
        <v>0</v>
      </c>
      <c r="C24" s="3">
        <f t="shared" si="0"/>
        <v>0</v>
      </c>
      <c r="D24" s="3">
        <f t="shared" si="0"/>
        <v>10500</v>
      </c>
    </row>
    <row r="25" spans="1:4">
      <c r="A25" t="s">
        <v>1</v>
      </c>
      <c r="B25" s="3">
        <f t="shared" si="0"/>
        <v>450</v>
      </c>
      <c r="C25" s="3">
        <f t="shared" si="0"/>
        <v>630</v>
      </c>
      <c r="D25" s="3">
        <f t="shared" si="0"/>
        <v>840</v>
      </c>
    </row>
    <row r="26" spans="1:4">
      <c r="A26" t="s">
        <v>0</v>
      </c>
      <c r="B26" s="3">
        <f>SUM(B21:B25)</f>
        <v>11750</v>
      </c>
      <c r="C26" s="3">
        <f>SUM(C21:C25)</f>
        <v>15330</v>
      </c>
      <c r="D26" s="3">
        <f>SUM(D21:D25)</f>
        <v>32790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2" sqref="E12"/>
    </sheetView>
  </sheetViews>
  <sheetFormatPr baseColWidth="10" defaultColWidth="8.83203125" defaultRowHeight="14" x14ac:dyDescent="0"/>
  <cols>
    <col min="1" max="1" width="23.6640625" customWidth="1"/>
    <col min="2" max="2" width="12" customWidth="1"/>
    <col min="3" max="3" width="10.83203125" customWidth="1"/>
    <col min="4" max="4" width="14.5" customWidth="1"/>
  </cols>
  <sheetData>
    <row r="1" spans="1:6">
      <c r="A1" s="5" t="s">
        <v>148</v>
      </c>
    </row>
    <row r="2" spans="1:6">
      <c r="A2" s="5" t="s">
        <v>19</v>
      </c>
    </row>
    <row r="3" spans="1:6">
      <c r="B3" s="1" t="s">
        <v>2</v>
      </c>
      <c r="C3" s="1" t="s">
        <v>3</v>
      </c>
      <c r="D3" s="1" t="s">
        <v>4</v>
      </c>
    </row>
    <row r="5" spans="1:6">
      <c r="A5" t="s">
        <v>20</v>
      </c>
      <c r="B5" s="9">
        <f>'Sales Forecast'!B9</f>
        <v>37000</v>
      </c>
      <c r="C5" s="9">
        <f>'Sales Forecast'!C9</f>
        <v>47200</v>
      </c>
      <c r="D5" s="9">
        <f>'Sales Forecast'!D9</f>
        <v>82600</v>
      </c>
      <c r="F5" t="s">
        <v>125</v>
      </c>
    </row>
    <row r="6" spans="1:6">
      <c r="A6" t="s">
        <v>21</v>
      </c>
      <c r="B6" s="10">
        <f>'Sales Forecast'!B26</f>
        <v>11750</v>
      </c>
      <c r="C6" s="10">
        <f>'Sales Forecast'!C26</f>
        <v>15330</v>
      </c>
      <c r="D6" s="10">
        <f>'Sales Forecast'!D26</f>
        <v>32790</v>
      </c>
      <c r="F6" t="s">
        <v>123</v>
      </c>
    </row>
    <row r="7" spans="1:6" s="6" customFormat="1">
      <c r="A7" s="6" t="s">
        <v>22</v>
      </c>
      <c r="B7" s="12">
        <f>B5-B6</f>
        <v>25250</v>
      </c>
      <c r="C7" s="12">
        <f>C5-C6</f>
        <v>31870</v>
      </c>
      <c r="D7" s="12">
        <f>D5-D6</f>
        <v>49810</v>
      </c>
      <c r="F7" s="19" t="s">
        <v>124</v>
      </c>
    </row>
    <row r="8" spans="1:6">
      <c r="A8" t="s">
        <v>23</v>
      </c>
      <c r="B8" s="11"/>
      <c r="C8" s="11"/>
      <c r="D8" s="11"/>
    </row>
    <row r="9" spans="1:6">
      <c r="A9" t="s">
        <v>103</v>
      </c>
      <c r="B9" s="11">
        <v>40000</v>
      </c>
      <c r="C9" s="11">
        <v>40000</v>
      </c>
      <c r="D9" s="11">
        <v>40000</v>
      </c>
      <c r="F9" t="s">
        <v>126</v>
      </c>
    </row>
    <row r="10" spans="1:6">
      <c r="A10" t="s">
        <v>101</v>
      </c>
      <c r="B10" s="13">
        <v>12000</v>
      </c>
      <c r="C10" s="13">
        <v>12500</v>
      </c>
      <c r="D10" s="13">
        <v>13000</v>
      </c>
      <c r="F10" t="s">
        <v>104</v>
      </c>
    </row>
    <row r="11" spans="1:6">
      <c r="A11" t="s">
        <v>24</v>
      </c>
      <c r="B11" s="13">
        <v>3500</v>
      </c>
      <c r="C11" s="13">
        <v>3500</v>
      </c>
      <c r="D11" s="13">
        <v>3500</v>
      </c>
    </row>
    <row r="12" spans="1:6">
      <c r="A12" t="s">
        <v>146</v>
      </c>
      <c r="B12" s="13">
        <v>14500</v>
      </c>
      <c r="C12" s="13">
        <v>17000</v>
      </c>
      <c r="D12" s="13">
        <v>25000</v>
      </c>
      <c r="F12" t="s">
        <v>26</v>
      </c>
    </row>
    <row r="13" spans="1:6">
      <c r="A13" t="s">
        <v>115</v>
      </c>
      <c r="B13" s="13">
        <v>12000</v>
      </c>
      <c r="C13" s="13">
        <v>8000</v>
      </c>
      <c r="D13" s="13">
        <v>10000</v>
      </c>
    </row>
    <row r="14" spans="1:6">
      <c r="A14" t="s">
        <v>27</v>
      </c>
      <c r="B14" s="11">
        <v>2500</v>
      </c>
      <c r="C14" s="11">
        <v>2500</v>
      </c>
      <c r="D14" s="11">
        <v>2500</v>
      </c>
      <c r="F14" t="s">
        <v>28</v>
      </c>
    </row>
    <row r="15" spans="1:6">
      <c r="A15" t="s">
        <v>29</v>
      </c>
      <c r="B15" s="11">
        <v>1000</v>
      </c>
      <c r="C15" s="11">
        <v>1000</v>
      </c>
      <c r="D15" s="11">
        <v>1000</v>
      </c>
    </row>
    <row r="16" spans="1:6">
      <c r="A16" t="s">
        <v>30</v>
      </c>
      <c r="B16" s="11">
        <f>'Depreciation Schedule'!B44:B44</f>
        <v>7831.9047619047615</v>
      </c>
      <c r="C16" s="11">
        <f>'Depreciation Schedule'!C44:C44</f>
        <v>8867.6190476190477</v>
      </c>
      <c r="D16" s="11">
        <f>'Depreciation Schedule'!D44:D44</f>
        <v>8867.6190476190477</v>
      </c>
      <c r="F16" t="s">
        <v>31</v>
      </c>
    </row>
    <row r="17" spans="1:6" ht="15" thickBot="1">
      <c r="A17" t="s">
        <v>32</v>
      </c>
      <c r="B17" s="14">
        <f>SUM(B10:B16)</f>
        <v>53331.904761904763</v>
      </c>
      <c r="C17" s="14">
        <f>SUM(C10:C16)</f>
        <v>53367.619047619046</v>
      </c>
      <c r="D17" s="14">
        <f>SUM(D10:D16)</f>
        <v>63867.619047619046</v>
      </c>
    </row>
    <row r="18" spans="1:6">
      <c r="A18" s="6" t="s">
        <v>33</v>
      </c>
      <c r="B18" s="12">
        <f>B7-B17</f>
        <v>-28081.904761904763</v>
      </c>
      <c r="C18" s="12">
        <f>C7-C17</f>
        <v>-21497.619047619046</v>
      </c>
      <c r="D18" s="12">
        <f>D7-D17</f>
        <v>-14057.619047619046</v>
      </c>
    </row>
    <row r="19" spans="1:6">
      <c r="A19" t="s">
        <v>34</v>
      </c>
      <c r="B19" s="9">
        <f>SUM('Loan Amortizaton'!C6:C17)</f>
        <v>5140.6168548041214</v>
      </c>
      <c r="C19" s="9">
        <f>SUM('Loan Amortizaton'!C18:C29)</f>
        <v>5005.5423145934656</v>
      </c>
      <c r="D19" s="9">
        <f>SUM('Loan Amortizaton'!C30:C41)</f>
        <v>4861.4215822665092</v>
      </c>
      <c r="F19" t="s">
        <v>127</v>
      </c>
    </row>
    <row r="20" spans="1:6" ht="15" thickBot="1">
      <c r="A20" t="s">
        <v>35</v>
      </c>
      <c r="B20" s="15">
        <f>IF(B18-B19&gt;0,(B18-B19)*0.3,0)</f>
        <v>0</v>
      </c>
      <c r="C20" s="15">
        <f>IF(C18-C19&gt;0,(C18-C19)*0.3,0)</f>
        <v>0</v>
      </c>
      <c r="D20" s="15">
        <f>IF(D18-D19&gt;0,(D18-D19)*0.3,0)</f>
        <v>0</v>
      </c>
      <c r="F20" t="s">
        <v>139</v>
      </c>
    </row>
    <row r="21" spans="1:6" ht="15" thickBot="1">
      <c r="A21" s="6" t="s">
        <v>36</v>
      </c>
      <c r="B21" s="16">
        <f>B18-B19-B20</f>
        <v>-33222.521616708887</v>
      </c>
      <c r="C21" s="16">
        <f>C18-C19-C20</f>
        <v>-26503.161362212511</v>
      </c>
      <c r="D21" s="16">
        <f>D18-D19-D20</f>
        <v>-18919.040629885556</v>
      </c>
    </row>
    <row r="22" spans="1:6" ht="15" thickTop="1"/>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E22" sqref="E22"/>
    </sheetView>
  </sheetViews>
  <sheetFormatPr baseColWidth="10" defaultColWidth="8.83203125" defaultRowHeight="14" x14ac:dyDescent="0"/>
  <cols>
    <col min="1" max="1" width="34.5" customWidth="1"/>
    <col min="2" max="3" width="10" bestFit="1" customWidth="1"/>
    <col min="4" max="4" width="11" customWidth="1"/>
  </cols>
  <sheetData>
    <row r="1" spans="1:7">
      <c r="A1" s="5" t="s">
        <v>148</v>
      </c>
      <c r="B1" s="5"/>
      <c r="C1" s="5"/>
      <c r="D1" s="5"/>
    </row>
    <row r="2" spans="1:7">
      <c r="A2" s="5" t="s">
        <v>37</v>
      </c>
      <c r="G2" t="s">
        <v>38</v>
      </c>
    </row>
    <row r="3" spans="1:7">
      <c r="B3" s="22" t="s">
        <v>2</v>
      </c>
      <c r="C3" s="22" t="s">
        <v>3</v>
      </c>
      <c r="D3" s="22" t="s">
        <v>4</v>
      </c>
    </row>
    <row r="4" spans="1:7">
      <c r="A4" s="6" t="s">
        <v>39</v>
      </c>
      <c r="B4" s="8"/>
      <c r="C4" s="8"/>
      <c r="D4" s="8"/>
    </row>
    <row r="5" spans="1:7">
      <c r="A5" t="s">
        <v>40</v>
      </c>
      <c r="B5" s="17">
        <f>25000</f>
        <v>25000</v>
      </c>
      <c r="C5" s="17">
        <f>19000</f>
        <v>19000</v>
      </c>
      <c r="D5" s="17">
        <f>15000</f>
        <v>15000</v>
      </c>
    </row>
    <row r="6" spans="1:7">
      <c r="A6" t="s">
        <v>41</v>
      </c>
      <c r="B6" s="17">
        <v>0</v>
      </c>
      <c r="C6" s="17">
        <v>0</v>
      </c>
      <c r="D6" s="17">
        <v>0</v>
      </c>
      <c r="F6" t="s">
        <v>128</v>
      </c>
    </row>
    <row r="7" spans="1:7">
      <c r="A7" t="s">
        <v>42</v>
      </c>
      <c r="B7" s="18">
        <v>180000</v>
      </c>
      <c r="C7" s="18">
        <v>220000</v>
      </c>
      <c r="D7" s="18">
        <v>230000</v>
      </c>
      <c r="F7" t="s">
        <v>129</v>
      </c>
    </row>
    <row r="8" spans="1:7">
      <c r="A8" t="s">
        <v>43</v>
      </c>
      <c r="B8" s="17">
        <f>SUM(B5:B7)</f>
        <v>205000</v>
      </c>
      <c r="C8" s="17">
        <f>SUM(C5:C7)</f>
        <v>239000</v>
      </c>
      <c r="D8" s="17">
        <f>SUM(D5:D7)</f>
        <v>245000</v>
      </c>
    </row>
    <row r="9" spans="1:7">
      <c r="A9" t="s">
        <v>44</v>
      </c>
      <c r="B9" s="17">
        <f>4000</f>
        <v>4000</v>
      </c>
      <c r="C9" s="17">
        <f>B9+'[1]Statement of Cash Flows'!C14-'[1]Statement of Cash Flows'!C13</f>
        <v>14000</v>
      </c>
      <c r="D9" s="17">
        <f>C9+'[1]Statement of Cash Flows'!D14-'[1]Statement of Cash Flows'!D13</f>
        <v>14000</v>
      </c>
      <c r="F9" t="s">
        <v>130</v>
      </c>
    </row>
    <row r="10" spans="1:7">
      <c r="A10" t="s">
        <v>45</v>
      </c>
      <c r="B10" s="17">
        <f>'Income Statement'!B16</f>
        <v>7831.9047619047615</v>
      </c>
      <c r="C10" s="17">
        <f>B10+'Income Statement'!C16</f>
        <v>16699.523809523809</v>
      </c>
      <c r="D10" s="17">
        <f>C10+'Income Statement'!D16</f>
        <v>25567.142857142855</v>
      </c>
      <c r="F10" t="s">
        <v>131</v>
      </c>
    </row>
    <row r="11" spans="1:7" ht="15" thickBot="1">
      <c r="A11" t="s">
        <v>46</v>
      </c>
      <c r="B11" s="23">
        <f>B9-B10</f>
        <v>-3831.9047619047615</v>
      </c>
      <c r="C11" s="23">
        <f>C9-C10</f>
        <v>-2699.5238095238092</v>
      </c>
      <c r="D11" s="23">
        <f>D9-D10</f>
        <v>-11567.142857142855</v>
      </c>
      <c r="F11" t="s">
        <v>132</v>
      </c>
    </row>
    <row r="12" spans="1:7">
      <c r="A12" s="6" t="s">
        <v>47</v>
      </c>
      <c r="B12" s="24">
        <f>B8+B11</f>
        <v>201168.09523809524</v>
      </c>
      <c r="C12" s="24">
        <f>C8+C11</f>
        <v>236300.47619047618</v>
      </c>
      <c r="D12" s="24">
        <f>D8+D11</f>
        <v>233432.85714285716</v>
      </c>
      <c r="F12" s="8"/>
      <c r="G12" s="8"/>
    </row>
    <row r="13" spans="1:7">
      <c r="A13" s="6" t="s">
        <v>48</v>
      </c>
      <c r="B13" s="17"/>
      <c r="C13" s="17"/>
      <c r="D13" s="17"/>
    </row>
    <row r="14" spans="1:7">
      <c r="A14" t="s">
        <v>49</v>
      </c>
      <c r="B14" s="17">
        <f>46000</f>
        <v>46000</v>
      </c>
      <c r="C14" s="17">
        <f>5000</f>
        <v>5000</v>
      </c>
      <c r="D14" s="17">
        <f>4400</f>
        <v>4400</v>
      </c>
      <c r="F14" t="s">
        <v>133</v>
      </c>
    </row>
    <row r="15" spans="1:7">
      <c r="A15" t="s">
        <v>50</v>
      </c>
      <c r="B15" s="17">
        <f>SUM(B14:B14)</f>
        <v>46000</v>
      </c>
      <c r="C15" s="17">
        <f>SUM(C14:C14)</f>
        <v>5000</v>
      </c>
      <c r="D15" s="17">
        <f>SUM(D14:D14)</f>
        <v>4400</v>
      </c>
    </row>
    <row r="16" spans="1:7">
      <c r="A16" t="s">
        <v>114</v>
      </c>
      <c r="B16" s="17">
        <v>0</v>
      </c>
      <c r="C16" s="17">
        <v>0</v>
      </c>
      <c r="D16" s="17">
        <v>0</v>
      </c>
      <c r="F16" t="s">
        <v>135</v>
      </c>
    </row>
    <row r="17" spans="1:6">
      <c r="A17" t="s">
        <v>51</v>
      </c>
      <c r="B17" s="17">
        <v>1200</v>
      </c>
      <c r="C17" s="17">
        <v>2200</v>
      </c>
      <c r="D17" s="17">
        <v>1800</v>
      </c>
      <c r="F17" t="s">
        <v>134</v>
      </c>
    </row>
    <row r="18" spans="1:6" ht="15" thickBot="1">
      <c r="A18" t="s">
        <v>52</v>
      </c>
      <c r="B18" s="23">
        <f>B17+B16</f>
        <v>1200</v>
      </c>
      <c r="C18" s="23">
        <f>C17+C16</f>
        <v>2200</v>
      </c>
      <c r="D18" s="23">
        <f>D17+D16</f>
        <v>1800</v>
      </c>
    </row>
    <row r="19" spans="1:6">
      <c r="A19" s="6" t="s">
        <v>53</v>
      </c>
      <c r="B19" s="21">
        <f>B15+B18</f>
        <v>47200</v>
      </c>
      <c r="C19" s="21">
        <f>C15+C18</f>
        <v>7200</v>
      </c>
      <c r="D19" s="21">
        <f>D15+D18</f>
        <v>6200</v>
      </c>
      <c r="F19" s="8"/>
    </row>
    <row r="20" spans="1:6">
      <c r="A20" s="6" t="s">
        <v>54</v>
      </c>
      <c r="B20" s="17"/>
      <c r="C20" s="17"/>
      <c r="D20" s="17"/>
    </row>
    <row r="21" spans="1:6">
      <c r="A21" t="s">
        <v>55</v>
      </c>
      <c r="B21" s="17">
        <v>6500</v>
      </c>
      <c r="C21" s="17">
        <v>8300</v>
      </c>
      <c r="D21" s="17">
        <v>9500</v>
      </c>
      <c r="F21" t="s">
        <v>136</v>
      </c>
    </row>
    <row r="22" spans="1:6" ht="15" thickBot="1">
      <c r="A22" t="s">
        <v>56</v>
      </c>
      <c r="B22" s="25">
        <v>12000</v>
      </c>
      <c r="C22" s="26">
        <v>15000</v>
      </c>
      <c r="D22" s="26">
        <v>7100</v>
      </c>
      <c r="F22" t="s">
        <v>57</v>
      </c>
    </row>
    <row r="23" spans="1:6">
      <c r="A23" s="6" t="s">
        <v>58</v>
      </c>
      <c r="B23" s="21">
        <f>SUM(B21:B22)</f>
        <v>18500</v>
      </c>
      <c r="C23" s="21">
        <f>SUM(C21:C22)</f>
        <v>23300</v>
      </c>
      <c r="D23" s="21">
        <f>SUM(D21:D22)</f>
        <v>16600</v>
      </c>
      <c r="F23" s="8"/>
    </row>
    <row r="24" spans="1:6">
      <c r="B24" s="17"/>
      <c r="C24" s="17"/>
      <c r="D24" s="17"/>
    </row>
    <row r="25" spans="1:6">
      <c r="B25" s="8"/>
      <c r="C25" s="8"/>
      <c r="D25" s="8"/>
    </row>
    <row r="26" spans="1:6">
      <c r="B26" s="8"/>
      <c r="C26" s="8"/>
      <c r="D26" s="8"/>
    </row>
    <row r="27" spans="1:6">
      <c r="A27" t="s">
        <v>59</v>
      </c>
    </row>
    <row r="28" spans="1:6">
      <c r="A28" t="s">
        <v>39</v>
      </c>
      <c r="B28" s="17">
        <f>B12</f>
        <v>201168.09523809524</v>
      </c>
      <c r="C28" s="17">
        <f>C12</f>
        <v>236300.47619047618</v>
      </c>
      <c r="D28" s="17">
        <f>D12</f>
        <v>233432.85714285716</v>
      </c>
    </row>
    <row r="29" spans="1:6">
      <c r="A29" t="s">
        <v>86</v>
      </c>
      <c r="B29" s="20">
        <f>B19+B23</f>
        <v>65700</v>
      </c>
      <c r="C29" s="20">
        <f>C19+C23</f>
        <v>30500</v>
      </c>
      <c r="D29" s="20">
        <f>D19+D23</f>
        <v>22800</v>
      </c>
    </row>
    <row r="30" spans="1:6">
      <c r="A30" t="s">
        <v>60</v>
      </c>
      <c r="B30" s="17">
        <f>B28-B29</f>
        <v>135468.09523809524</v>
      </c>
      <c r="C30" s="17">
        <f>C28-C29</f>
        <v>205800.47619047618</v>
      </c>
      <c r="D30" s="17">
        <f>D28-D29</f>
        <v>210632.85714285716</v>
      </c>
      <c r="F30" t="s">
        <v>61</v>
      </c>
    </row>
    <row r="36" spans="2:2">
      <c r="B36" s="63"/>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F35" sqref="F35"/>
    </sheetView>
  </sheetViews>
  <sheetFormatPr baseColWidth="10" defaultColWidth="8.83203125" defaultRowHeight="14" x14ac:dyDescent="0"/>
  <cols>
    <col min="1" max="1" width="32.33203125" customWidth="1"/>
    <col min="3" max="3" width="12.5" bestFit="1" customWidth="1"/>
    <col min="4" max="5" width="11.1640625" bestFit="1" customWidth="1"/>
  </cols>
  <sheetData>
    <row r="1" spans="1:7">
      <c r="A1" s="5" t="s">
        <v>109</v>
      </c>
      <c r="B1" s="2"/>
      <c r="C1" s="2"/>
      <c r="D1" s="2"/>
      <c r="E1" s="2"/>
    </row>
    <row r="2" spans="1:7">
      <c r="A2" s="5" t="s">
        <v>62</v>
      </c>
      <c r="B2" s="7"/>
      <c r="C2" s="2"/>
      <c r="D2" s="2"/>
      <c r="E2" s="2"/>
    </row>
    <row r="3" spans="1:7">
      <c r="A3" s="6"/>
      <c r="B3" s="7"/>
      <c r="C3" s="2"/>
      <c r="D3" s="2"/>
      <c r="E3" s="2"/>
    </row>
    <row r="4" spans="1:7">
      <c r="A4" s="48" t="s">
        <v>63</v>
      </c>
      <c r="C4" s="2"/>
      <c r="D4" s="2"/>
      <c r="E4" s="2"/>
    </row>
    <row r="5" spans="1:7">
      <c r="A5" t="s">
        <v>64</v>
      </c>
      <c r="B5" s="27" t="s">
        <v>2</v>
      </c>
      <c r="C5" s="27" t="s">
        <v>3</v>
      </c>
      <c r="D5" s="27" t="s">
        <v>4</v>
      </c>
      <c r="E5" s="28" t="s">
        <v>65</v>
      </c>
      <c r="G5" s="37"/>
    </row>
    <row r="6" spans="1:7">
      <c r="A6" s="5" t="s">
        <v>106</v>
      </c>
      <c r="B6" s="3">
        <v>30000</v>
      </c>
      <c r="C6" s="8"/>
      <c r="D6" s="8"/>
      <c r="E6" s="2">
        <v>30</v>
      </c>
    </row>
    <row r="7" spans="1:7">
      <c r="A7" s="19" t="s">
        <v>105</v>
      </c>
      <c r="B7" s="3">
        <v>6000</v>
      </c>
      <c r="E7" s="2">
        <v>15</v>
      </c>
    </row>
    <row r="8" spans="1:7">
      <c r="A8" t="s">
        <v>12</v>
      </c>
      <c r="B8" s="3">
        <v>30000</v>
      </c>
      <c r="C8" s="61">
        <v>5000</v>
      </c>
      <c r="D8" s="44"/>
      <c r="E8" s="2">
        <v>20</v>
      </c>
    </row>
    <row r="9" spans="1:7">
      <c r="A9" t="s">
        <v>70</v>
      </c>
      <c r="B9" s="3">
        <v>6500</v>
      </c>
      <c r="C9" s="61">
        <v>2000</v>
      </c>
      <c r="D9" s="44"/>
      <c r="E9" s="2">
        <v>5</v>
      </c>
      <c r="G9" t="s">
        <v>137</v>
      </c>
    </row>
    <row r="10" spans="1:7">
      <c r="A10" t="s">
        <v>108</v>
      </c>
      <c r="B10" s="3">
        <v>10000</v>
      </c>
      <c r="C10" s="61"/>
      <c r="D10" s="44"/>
      <c r="E10" s="2">
        <v>4</v>
      </c>
      <c r="G10" t="s">
        <v>138</v>
      </c>
    </row>
    <row r="11" spans="1:7">
      <c r="A11" t="s">
        <v>100</v>
      </c>
      <c r="B11" s="3">
        <v>1000</v>
      </c>
      <c r="C11" s="61"/>
      <c r="D11" s="44"/>
      <c r="E11" s="2">
        <v>4</v>
      </c>
    </row>
    <row r="12" spans="1:7">
      <c r="A12" t="s">
        <v>69</v>
      </c>
      <c r="B12" s="3">
        <v>800</v>
      </c>
      <c r="C12" s="61"/>
      <c r="D12" s="44"/>
      <c r="E12" s="2">
        <v>15</v>
      </c>
    </row>
    <row r="13" spans="1:7">
      <c r="A13" t="s">
        <v>102</v>
      </c>
      <c r="B13" s="3">
        <v>1500</v>
      </c>
      <c r="C13" s="61"/>
      <c r="D13" s="44"/>
      <c r="E13" s="2">
        <v>15</v>
      </c>
    </row>
    <row r="14" spans="1:7">
      <c r="A14" t="s">
        <v>71</v>
      </c>
      <c r="B14" s="3">
        <v>3000</v>
      </c>
      <c r="C14" s="61">
        <v>2000</v>
      </c>
      <c r="D14" s="44"/>
      <c r="E14" s="2">
        <v>7</v>
      </c>
    </row>
    <row r="15" spans="1:7">
      <c r="A15" t="s">
        <v>13</v>
      </c>
      <c r="B15" s="39">
        <v>3000</v>
      </c>
      <c r="C15" s="61">
        <v>1000</v>
      </c>
      <c r="D15" s="44"/>
      <c r="E15" s="2">
        <v>10</v>
      </c>
    </row>
    <row r="16" spans="1:7" ht="15" thickBot="1">
      <c r="A16" t="s">
        <v>0</v>
      </c>
      <c r="B16" s="43">
        <f>SUM(B6:B15)</f>
        <v>91800</v>
      </c>
      <c r="C16" s="43">
        <f>SUM(C6:C15)</f>
        <v>10000</v>
      </c>
      <c r="D16" s="43">
        <f>SUM(D6:D15)</f>
        <v>0</v>
      </c>
      <c r="E16" s="2"/>
    </row>
    <row r="17" spans="1:6" ht="15" thickTop="1">
      <c r="B17" s="2"/>
      <c r="C17" s="2"/>
      <c r="D17" s="2"/>
      <c r="E17" s="2"/>
    </row>
    <row r="18" spans="1:6">
      <c r="A18" s="47" t="s">
        <v>66</v>
      </c>
      <c r="C18" s="2"/>
      <c r="D18" s="2"/>
      <c r="E18" s="2"/>
    </row>
    <row r="19" spans="1:6">
      <c r="A19" t="s">
        <v>64</v>
      </c>
      <c r="B19" s="27" t="s">
        <v>2</v>
      </c>
      <c r="C19" s="27" t="s">
        <v>3</v>
      </c>
      <c r="D19" s="27" t="s">
        <v>4</v>
      </c>
      <c r="E19" s="2"/>
    </row>
    <row r="20" spans="1:6">
      <c r="A20" s="5" t="s">
        <v>106</v>
      </c>
      <c r="B20" s="3">
        <f>B6</f>
        <v>30000</v>
      </c>
      <c r="C20" s="3">
        <f>B6+C6</f>
        <v>30000</v>
      </c>
      <c r="D20" s="3">
        <f>B6+C6+D6</f>
        <v>30000</v>
      </c>
      <c r="E20" s="2"/>
    </row>
    <row r="21" spans="1:6">
      <c r="A21" s="19" t="s">
        <v>105</v>
      </c>
      <c r="B21" s="3">
        <f t="shared" ref="B21:B29" si="0">B7</f>
        <v>6000</v>
      </c>
      <c r="C21" s="3">
        <f t="shared" ref="C21:C29" si="1">B7+C7</f>
        <v>6000</v>
      </c>
      <c r="D21" s="3">
        <f t="shared" ref="D21:D29" si="2">B7+C7+D7</f>
        <v>6000</v>
      </c>
      <c r="E21" s="2"/>
    </row>
    <row r="22" spans="1:6">
      <c r="A22" t="s">
        <v>12</v>
      </c>
      <c r="B22" s="3">
        <f t="shared" si="0"/>
        <v>30000</v>
      </c>
      <c r="C22" s="3">
        <f t="shared" si="1"/>
        <v>35000</v>
      </c>
      <c r="D22" s="3">
        <f t="shared" si="2"/>
        <v>35000</v>
      </c>
      <c r="E22" s="2"/>
    </row>
    <row r="23" spans="1:6">
      <c r="A23" t="s">
        <v>70</v>
      </c>
      <c r="B23" s="3">
        <f t="shared" si="0"/>
        <v>6500</v>
      </c>
      <c r="C23" s="3">
        <f t="shared" si="1"/>
        <v>8500</v>
      </c>
      <c r="D23" s="3">
        <f t="shared" si="2"/>
        <v>8500</v>
      </c>
      <c r="E23" s="2"/>
    </row>
    <row r="24" spans="1:6">
      <c r="A24" t="s">
        <v>108</v>
      </c>
      <c r="B24" s="3">
        <f t="shared" si="0"/>
        <v>10000</v>
      </c>
      <c r="C24" s="3">
        <f t="shared" si="1"/>
        <v>10000</v>
      </c>
      <c r="D24" s="3">
        <f t="shared" si="2"/>
        <v>10000</v>
      </c>
      <c r="E24" s="2"/>
    </row>
    <row r="25" spans="1:6">
      <c r="A25" t="s">
        <v>100</v>
      </c>
      <c r="B25" s="3">
        <f t="shared" si="0"/>
        <v>1000</v>
      </c>
      <c r="C25" s="3">
        <f t="shared" si="1"/>
        <v>1000</v>
      </c>
      <c r="D25" s="3">
        <f t="shared" si="2"/>
        <v>1000</v>
      </c>
      <c r="E25" s="2"/>
    </row>
    <row r="26" spans="1:6">
      <c r="A26" t="s">
        <v>69</v>
      </c>
      <c r="B26" s="3">
        <f t="shared" si="0"/>
        <v>800</v>
      </c>
      <c r="C26" s="3">
        <f t="shared" si="1"/>
        <v>800</v>
      </c>
      <c r="D26" s="3">
        <f t="shared" si="2"/>
        <v>800</v>
      </c>
      <c r="E26" s="2"/>
    </row>
    <row r="27" spans="1:6">
      <c r="A27" t="s">
        <v>102</v>
      </c>
      <c r="B27" s="3">
        <f t="shared" si="0"/>
        <v>1500</v>
      </c>
      <c r="C27" s="3">
        <f t="shared" si="1"/>
        <v>1500</v>
      </c>
      <c r="D27" s="3">
        <f t="shared" si="2"/>
        <v>1500</v>
      </c>
      <c r="E27" s="2"/>
    </row>
    <row r="28" spans="1:6">
      <c r="A28" t="s">
        <v>71</v>
      </c>
      <c r="B28" s="3">
        <f t="shared" si="0"/>
        <v>3000</v>
      </c>
      <c r="C28" s="3">
        <f t="shared" si="1"/>
        <v>5000</v>
      </c>
      <c r="D28" s="3">
        <f t="shared" si="2"/>
        <v>5000</v>
      </c>
      <c r="E28" s="2"/>
    </row>
    <row r="29" spans="1:6">
      <c r="A29" t="s">
        <v>13</v>
      </c>
      <c r="B29" s="3">
        <f t="shared" si="0"/>
        <v>3000</v>
      </c>
      <c r="C29" s="3">
        <f t="shared" si="1"/>
        <v>4000</v>
      </c>
      <c r="D29" s="3">
        <f t="shared" si="2"/>
        <v>4000</v>
      </c>
      <c r="E29" s="2"/>
    </row>
    <row r="30" spans="1:6" ht="15" thickBot="1">
      <c r="A30" t="s">
        <v>0</v>
      </c>
      <c r="B30" s="43">
        <f>SUM(B20:B29)</f>
        <v>91800</v>
      </c>
      <c r="C30" s="43">
        <f t="shared" ref="C30:D30" si="3">SUM(C20:C29)</f>
        <v>101800</v>
      </c>
      <c r="D30" s="43">
        <f t="shared" si="3"/>
        <v>101800</v>
      </c>
      <c r="E30" s="2"/>
    </row>
    <row r="31" spans="1:6" ht="15" thickTop="1">
      <c r="B31" s="39"/>
      <c r="C31" s="39"/>
      <c r="D31" s="39"/>
      <c r="E31" s="39"/>
      <c r="F31" s="2"/>
    </row>
    <row r="32" spans="1:6">
      <c r="A32" s="48" t="s">
        <v>67</v>
      </c>
      <c r="B32" s="2"/>
      <c r="D32" s="2"/>
      <c r="E32" s="2"/>
      <c r="F32" s="2"/>
    </row>
    <row r="33" spans="1:5">
      <c r="A33" t="s">
        <v>64</v>
      </c>
      <c r="B33" s="27" t="s">
        <v>2</v>
      </c>
      <c r="C33" s="27" t="s">
        <v>3</v>
      </c>
      <c r="D33" s="27" t="s">
        <v>4</v>
      </c>
      <c r="E33" s="2"/>
    </row>
    <row r="34" spans="1:5">
      <c r="A34" s="5" t="s">
        <v>106</v>
      </c>
      <c r="B34" s="44">
        <f>B20/E6</f>
        <v>1000</v>
      </c>
      <c r="C34" s="44">
        <f>C20/E6</f>
        <v>1000</v>
      </c>
      <c r="D34" s="44">
        <f>D20/E6</f>
        <v>1000</v>
      </c>
      <c r="E34" s="2"/>
    </row>
    <row r="35" spans="1:5">
      <c r="A35" s="19" t="s">
        <v>105</v>
      </c>
      <c r="B35" s="44">
        <f t="shared" ref="B35:B43" si="4">B21/E7</f>
        <v>400</v>
      </c>
      <c r="C35" s="44">
        <f t="shared" ref="C35:C43" si="5">C21/E7</f>
        <v>400</v>
      </c>
      <c r="D35" s="44">
        <f t="shared" ref="D35:D43" si="6">D21/E7</f>
        <v>400</v>
      </c>
      <c r="E35" s="2"/>
    </row>
    <row r="36" spans="1:5">
      <c r="A36" t="s">
        <v>12</v>
      </c>
      <c r="B36" s="44">
        <f t="shared" si="4"/>
        <v>1500</v>
      </c>
      <c r="C36" s="44">
        <f t="shared" si="5"/>
        <v>1750</v>
      </c>
      <c r="D36" s="44">
        <f t="shared" si="6"/>
        <v>1750</v>
      </c>
      <c r="E36" s="2"/>
    </row>
    <row r="37" spans="1:5">
      <c r="A37" t="s">
        <v>70</v>
      </c>
      <c r="B37" s="44">
        <f t="shared" si="4"/>
        <v>1300</v>
      </c>
      <c r="C37" s="44">
        <f t="shared" si="5"/>
        <v>1700</v>
      </c>
      <c r="D37" s="44">
        <f t="shared" si="6"/>
        <v>1700</v>
      </c>
      <c r="E37" s="2"/>
    </row>
    <row r="38" spans="1:5">
      <c r="A38" t="s">
        <v>108</v>
      </c>
      <c r="B38" s="44">
        <f t="shared" si="4"/>
        <v>2500</v>
      </c>
      <c r="C38" s="44">
        <f t="shared" si="5"/>
        <v>2500</v>
      </c>
      <c r="D38" s="44">
        <f t="shared" si="6"/>
        <v>2500</v>
      </c>
      <c r="E38" s="2"/>
    </row>
    <row r="39" spans="1:5">
      <c r="A39" t="s">
        <v>100</v>
      </c>
      <c r="B39" s="44">
        <f t="shared" si="4"/>
        <v>250</v>
      </c>
      <c r="C39" s="44">
        <f t="shared" si="5"/>
        <v>250</v>
      </c>
      <c r="D39" s="44">
        <f t="shared" si="6"/>
        <v>250</v>
      </c>
      <c r="E39" s="2"/>
    </row>
    <row r="40" spans="1:5">
      <c r="A40" t="s">
        <v>69</v>
      </c>
      <c r="B40" s="44">
        <f t="shared" si="4"/>
        <v>53.333333333333336</v>
      </c>
      <c r="C40" s="44">
        <f t="shared" si="5"/>
        <v>53.333333333333336</v>
      </c>
      <c r="D40" s="44">
        <f t="shared" si="6"/>
        <v>53.333333333333336</v>
      </c>
      <c r="E40" s="2"/>
    </row>
    <row r="41" spans="1:5">
      <c r="A41" t="s">
        <v>102</v>
      </c>
      <c r="B41" s="44">
        <f t="shared" si="4"/>
        <v>100</v>
      </c>
      <c r="C41" s="44">
        <f t="shared" si="5"/>
        <v>100</v>
      </c>
      <c r="D41" s="44">
        <f t="shared" si="6"/>
        <v>100</v>
      </c>
      <c r="E41" s="2"/>
    </row>
    <row r="42" spans="1:5">
      <c r="A42" t="s">
        <v>71</v>
      </c>
      <c r="B42" s="44">
        <f t="shared" si="4"/>
        <v>428.57142857142856</v>
      </c>
      <c r="C42" s="44">
        <f t="shared" si="5"/>
        <v>714.28571428571433</v>
      </c>
      <c r="D42" s="44">
        <f t="shared" si="6"/>
        <v>714.28571428571433</v>
      </c>
      <c r="E42" s="2"/>
    </row>
    <row r="43" spans="1:5">
      <c r="A43" t="s">
        <v>13</v>
      </c>
      <c r="B43" s="44">
        <f t="shared" si="4"/>
        <v>300</v>
      </c>
      <c r="C43" s="44">
        <f t="shared" si="5"/>
        <v>400</v>
      </c>
      <c r="D43" s="44">
        <f t="shared" si="6"/>
        <v>400</v>
      </c>
    </row>
    <row r="44" spans="1:5" ht="15" thickBot="1">
      <c r="A44" t="s">
        <v>0</v>
      </c>
      <c r="B44" s="45">
        <f>SUM(B34:B43)</f>
        <v>7831.9047619047615</v>
      </c>
      <c r="C44" s="45">
        <f t="shared" ref="C44:D44" si="7">SUM(C34:C43)</f>
        <v>8867.6190476190477</v>
      </c>
      <c r="D44" s="45">
        <f t="shared" si="7"/>
        <v>8867.6190476190477</v>
      </c>
    </row>
    <row r="45" spans="1:5" ht="15" thickTop="1"/>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5"/>
  <sheetViews>
    <sheetView workbookViewId="0">
      <selection activeCell="D1" sqref="D1"/>
    </sheetView>
  </sheetViews>
  <sheetFormatPr baseColWidth="10" defaultColWidth="8.83203125" defaultRowHeight="14" x14ac:dyDescent="0"/>
  <cols>
    <col min="1" max="1" width="12" style="2" customWidth="1"/>
    <col min="2" max="2" width="12.5" style="2" customWidth="1"/>
    <col min="3" max="5" width="13.33203125" style="2" customWidth="1"/>
    <col min="6" max="6" width="4.33203125" customWidth="1"/>
    <col min="7" max="7" width="18.1640625" customWidth="1"/>
    <col min="8" max="8" width="15.6640625" bestFit="1" customWidth="1"/>
  </cols>
  <sheetData>
    <row r="1" spans="1:8">
      <c r="A1" s="48" t="s">
        <v>109</v>
      </c>
    </row>
    <row r="2" spans="1:8">
      <c r="A2" s="48" t="s">
        <v>111</v>
      </c>
    </row>
    <row r="4" spans="1:8">
      <c r="A4" s="1" t="s">
        <v>75</v>
      </c>
      <c r="B4" s="1" t="s">
        <v>81</v>
      </c>
      <c r="C4" s="1" t="s">
        <v>82</v>
      </c>
      <c r="D4" s="1" t="s">
        <v>83</v>
      </c>
      <c r="E4" s="1" t="s">
        <v>84</v>
      </c>
    </row>
    <row r="5" spans="1:8">
      <c r="A5" s="33">
        <v>0</v>
      </c>
      <c r="E5" s="34">
        <f>H8</f>
        <v>80000</v>
      </c>
    </row>
    <row r="6" spans="1:8">
      <c r="A6" s="2">
        <v>1</v>
      </c>
      <c r="B6" s="35">
        <f>$H$10*-1</f>
        <v>596.45850841207766</v>
      </c>
      <c r="C6" s="36">
        <f>(($H$9/12)*E5)</f>
        <v>433.33333333333337</v>
      </c>
      <c r="D6" s="36">
        <f>B6-C6</f>
        <v>163.12517507874429</v>
      </c>
      <c r="E6" s="34">
        <f>E5-D6</f>
        <v>79836.874824921251</v>
      </c>
      <c r="G6" t="s">
        <v>76</v>
      </c>
      <c r="H6">
        <v>20</v>
      </c>
    </row>
    <row r="7" spans="1:8">
      <c r="A7" s="2">
        <v>2</v>
      </c>
      <c r="B7" s="35">
        <f t="shared" ref="B7:B70" si="0">$H$10*-1</f>
        <v>596.45850841207766</v>
      </c>
      <c r="C7" s="36">
        <f t="shared" ref="C7:C70" si="1">(($H$9/12)*E6)</f>
        <v>432.44973863499013</v>
      </c>
      <c r="D7" s="36">
        <f t="shared" ref="D7:D70" si="2">B7-C7</f>
        <v>164.00876977708754</v>
      </c>
      <c r="E7" s="34">
        <f t="shared" ref="E7:E70" si="3">E6-D7</f>
        <v>79672.866055144157</v>
      </c>
      <c r="G7" t="s">
        <v>77</v>
      </c>
      <c r="H7">
        <f>H6*12</f>
        <v>240</v>
      </c>
    </row>
    <row r="8" spans="1:8">
      <c r="A8" s="2">
        <v>3</v>
      </c>
      <c r="B8" s="35">
        <f t="shared" si="0"/>
        <v>596.45850841207766</v>
      </c>
      <c r="C8" s="36">
        <f t="shared" si="1"/>
        <v>431.56135779869754</v>
      </c>
      <c r="D8" s="36">
        <f t="shared" si="2"/>
        <v>164.89715061338012</v>
      </c>
      <c r="E8" s="34">
        <f t="shared" si="3"/>
        <v>79507.968904530775</v>
      </c>
      <c r="G8" t="s">
        <v>80</v>
      </c>
      <c r="H8" s="29">
        <v>80000</v>
      </c>
    </row>
    <row r="9" spans="1:8">
      <c r="A9" s="2">
        <v>4</v>
      </c>
      <c r="B9" s="35">
        <f t="shared" si="0"/>
        <v>596.45850841207766</v>
      </c>
      <c r="C9" s="36">
        <f t="shared" si="1"/>
        <v>430.66816489954169</v>
      </c>
      <c r="D9" s="36">
        <f t="shared" si="2"/>
        <v>165.79034351253597</v>
      </c>
      <c r="E9" s="34">
        <f t="shared" si="3"/>
        <v>79342.178561018241</v>
      </c>
      <c r="G9" t="s">
        <v>78</v>
      </c>
      <c r="H9" s="30">
        <v>6.5000000000000002E-2</v>
      </c>
    </row>
    <row r="10" spans="1:8">
      <c r="A10" s="2">
        <v>5</v>
      </c>
      <c r="B10" s="35">
        <f t="shared" si="0"/>
        <v>596.45850841207766</v>
      </c>
      <c r="C10" s="36">
        <f t="shared" si="1"/>
        <v>429.77013387218216</v>
      </c>
      <c r="D10" s="36">
        <f t="shared" si="2"/>
        <v>166.68837453989551</v>
      </c>
      <c r="E10" s="34">
        <f t="shared" si="3"/>
        <v>79175.490186478346</v>
      </c>
      <c r="G10" t="s">
        <v>85</v>
      </c>
      <c r="H10" s="32">
        <f>PMT(H9/12,240,H8,0,0)</f>
        <v>-596.45850841207766</v>
      </c>
    </row>
    <row r="11" spans="1:8">
      <c r="A11" s="2">
        <v>6</v>
      </c>
      <c r="B11" s="35">
        <f t="shared" si="0"/>
        <v>596.45850841207766</v>
      </c>
      <c r="C11" s="36">
        <f t="shared" si="1"/>
        <v>428.86723851009106</v>
      </c>
      <c r="D11" s="36">
        <f t="shared" si="2"/>
        <v>167.59126990198661</v>
      </c>
      <c r="E11" s="34">
        <f t="shared" si="3"/>
        <v>79007.898916576363</v>
      </c>
      <c r="G11" t="s">
        <v>79</v>
      </c>
      <c r="H11" s="31">
        <f>SUM(C6:C245)</f>
        <v>63150.042018898581</v>
      </c>
    </row>
    <row r="12" spans="1:8">
      <c r="A12" s="2">
        <v>7</v>
      </c>
      <c r="B12" s="35">
        <f t="shared" si="0"/>
        <v>596.45850841207766</v>
      </c>
      <c r="C12" s="36">
        <f t="shared" si="1"/>
        <v>427.95945246478863</v>
      </c>
      <c r="D12" s="36">
        <f t="shared" si="2"/>
        <v>168.49905594728904</v>
      </c>
      <c r="E12" s="34">
        <f t="shared" si="3"/>
        <v>78839.39986062907</v>
      </c>
    </row>
    <row r="13" spans="1:8">
      <c r="A13" s="2">
        <v>8</v>
      </c>
      <c r="B13" s="35">
        <f t="shared" si="0"/>
        <v>596.45850841207766</v>
      </c>
      <c r="C13" s="36">
        <f t="shared" si="1"/>
        <v>427.04674924507412</v>
      </c>
      <c r="D13" s="36">
        <f t="shared" si="2"/>
        <v>169.41175916700354</v>
      </c>
      <c r="E13" s="34">
        <f t="shared" si="3"/>
        <v>78669.988101462062</v>
      </c>
    </row>
    <row r="14" spans="1:8">
      <c r="A14" s="2">
        <v>9</v>
      </c>
      <c r="B14" s="35">
        <f t="shared" si="0"/>
        <v>596.45850841207766</v>
      </c>
      <c r="C14" s="36">
        <f t="shared" si="1"/>
        <v>426.12910221625287</v>
      </c>
      <c r="D14" s="36">
        <f t="shared" si="2"/>
        <v>170.32940619582479</v>
      </c>
      <c r="E14" s="34">
        <f t="shared" si="3"/>
        <v>78499.658695266233</v>
      </c>
    </row>
    <row r="15" spans="1:8">
      <c r="A15" s="2">
        <v>10</v>
      </c>
      <c r="B15" s="35">
        <f t="shared" si="0"/>
        <v>596.45850841207766</v>
      </c>
      <c r="C15" s="36">
        <f t="shared" si="1"/>
        <v>425.20648459935876</v>
      </c>
      <c r="D15" s="36">
        <f t="shared" si="2"/>
        <v>171.2520238127189</v>
      </c>
      <c r="E15" s="34">
        <f t="shared" si="3"/>
        <v>78328.406671453515</v>
      </c>
    </row>
    <row r="16" spans="1:8">
      <c r="A16" s="2">
        <v>11</v>
      </c>
      <c r="B16" s="35">
        <f t="shared" si="0"/>
        <v>596.45850841207766</v>
      </c>
      <c r="C16" s="36">
        <f t="shared" si="1"/>
        <v>424.27886947037319</v>
      </c>
      <c r="D16" s="36">
        <f t="shared" si="2"/>
        <v>172.17963894170447</v>
      </c>
      <c r="E16" s="34">
        <f t="shared" si="3"/>
        <v>78156.227032511815</v>
      </c>
    </row>
    <row r="17" spans="1:5">
      <c r="A17" s="2">
        <v>12</v>
      </c>
      <c r="B17" s="35">
        <f t="shared" si="0"/>
        <v>596.45850841207766</v>
      </c>
      <c r="C17" s="36">
        <f t="shared" si="1"/>
        <v>423.34622975943904</v>
      </c>
      <c r="D17" s="36">
        <f t="shared" si="2"/>
        <v>173.11227865263862</v>
      </c>
      <c r="E17" s="34">
        <f t="shared" si="3"/>
        <v>77983.114753859176</v>
      </c>
    </row>
    <row r="18" spans="1:5">
      <c r="A18" s="2">
        <v>13</v>
      </c>
      <c r="B18" s="35">
        <f t="shared" si="0"/>
        <v>596.45850841207766</v>
      </c>
      <c r="C18" s="36">
        <f t="shared" si="1"/>
        <v>422.40853825007054</v>
      </c>
      <c r="D18" s="36">
        <f t="shared" si="2"/>
        <v>174.04997016200713</v>
      </c>
      <c r="E18" s="34">
        <f t="shared" si="3"/>
        <v>77809.064783697162</v>
      </c>
    </row>
    <row r="19" spans="1:5">
      <c r="A19" s="2">
        <v>14</v>
      </c>
      <c r="B19" s="35">
        <f t="shared" si="0"/>
        <v>596.45850841207766</v>
      </c>
      <c r="C19" s="36">
        <f t="shared" si="1"/>
        <v>421.46576757835965</v>
      </c>
      <c r="D19" s="36">
        <f t="shared" si="2"/>
        <v>174.99274083371802</v>
      </c>
      <c r="E19" s="34">
        <f t="shared" si="3"/>
        <v>77634.072042863438</v>
      </c>
    </row>
    <row r="20" spans="1:5">
      <c r="A20" s="2">
        <v>15</v>
      </c>
      <c r="B20" s="35">
        <f t="shared" si="0"/>
        <v>596.45850841207766</v>
      </c>
      <c r="C20" s="36">
        <f t="shared" si="1"/>
        <v>420.51789023217697</v>
      </c>
      <c r="D20" s="36">
        <f t="shared" si="2"/>
        <v>175.9406181799007</v>
      </c>
      <c r="E20" s="34">
        <f t="shared" si="3"/>
        <v>77458.131424683539</v>
      </c>
    </row>
    <row r="21" spans="1:5">
      <c r="A21" s="2">
        <v>16</v>
      </c>
      <c r="B21" s="35">
        <f t="shared" si="0"/>
        <v>596.45850841207766</v>
      </c>
      <c r="C21" s="36">
        <f t="shared" si="1"/>
        <v>419.5648785503692</v>
      </c>
      <c r="D21" s="36">
        <f t="shared" si="2"/>
        <v>176.89362986170846</v>
      </c>
      <c r="E21" s="34">
        <f t="shared" si="3"/>
        <v>77281.237794821835</v>
      </c>
    </row>
    <row r="22" spans="1:5">
      <c r="A22" s="2">
        <v>17</v>
      </c>
      <c r="B22" s="35">
        <f t="shared" si="0"/>
        <v>596.45850841207766</v>
      </c>
      <c r="C22" s="36">
        <f t="shared" si="1"/>
        <v>418.60670472195164</v>
      </c>
      <c r="D22" s="36">
        <f t="shared" si="2"/>
        <v>177.85180369012602</v>
      </c>
      <c r="E22" s="34">
        <f t="shared" si="3"/>
        <v>77103.385991131712</v>
      </c>
    </row>
    <row r="23" spans="1:5">
      <c r="A23" s="2">
        <v>18</v>
      </c>
      <c r="B23" s="35">
        <f t="shared" si="0"/>
        <v>596.45850841207766</v>
      </c>
      <c r="C23" s="36">
        <f t="shared" si="1"/>
        <v>417.6433407852968</v>
      </c>
      <c r="D23" s="36">
        <f t="shared" si="2"/>
        <v>178.81516762678086</v>
      </c>
      <c r="E23" s="34">
        <f t="shared" si="3"/>
        <v>76924.570823504924</v>
      </c>
    </row>
    <row r="24" spans="1:5">
      <c r="A24" s="2">
        <v>19</v>
      </c>
      <c r="B24" s="35">
        <f t="shared" si="0"/>
        <v>596.45850841207766</v>
      </c>
      <c r="C24" s="36">
        <f t="shared" si="1"/>
        <v>416.67475862731834</v>
      </c>
      <c r="D24" s="36">
        <f t="shared" si="2"/>
        <v>179.78374978475932</v>
      </c>
      <c r="E24" s="34">
        <f t="shared" si="3"/>
        <v>76744.787073720159</v>
      </c>
    </row>
    <row r="25" spans="1:5">
      <c r="A25" s="2">
        <v>20</v>
      </c>
      <c r="B25" s="35">
        <f t="shared" si="0"/>
        <v>596.45850841207766</v>
      </c>
      <c r="C25" s="36">
        <f t="shared" si="1"/>
        <v>415.70092998265091</v>
      </c>
      <c r="D25" s="36">
        <f t="shared" si="2"/>
        <v>180.75757842942676</v>
      </c>
      <c r="E25" s="34">
        <f t="shared" si="3"/>
        <v>76564.029495290728</v>
      </c>
    </row>
    <row r="26" spans="1:5">
      <c r="A26" s="2">
        <v>21</v>
      </c>
      <c r="B26" s="35">
        <f t="shared" si="0"/>
        <v>596.45850841207766</v>
      </c>
      <c r="C26" s="36">
        <f t="shared" si="1"/>
        <v>414.7218264328248</v>
      </c>
      <c r="D26" s="36">
        <f t="shared" si="2"/>
        <v>181.73668197925286</v>
      </c>
      <c r="E26" s="34">
        <f t="shared" si="3"/>
        <v>76382.292813311476</v>
      </c>
    </row>
    <row r="27" spans="1:5">
      <c r="A27" s="2">
        <v>22</v>
      </c>
      <c r="B27" s="35">
        <f t="shared" si="0"/>
        <v>596.45850841207766</v>
      </c>
      <c r="C27" s="36">
        <f t="shared" si="1"/>
        <v>413.73741940543715</v>
      </c>
      <c r="D27" s="36">
        <f t="shared" si="2"/>
        <v>182.72108900664051</v>
      </c>
      <c r="E27" s="34">
        <f t="shared" si="3"/>
        <v>76199.571724304842</v>
      </c>
    </row>
    <row r="28" spans="1:5">
      <c r="A28" s="2">
        <v>23</v>
      </c>
      <c r="B28" s="35">
        <f t="shared" si="0"/>
        <v>596.45850841207766</v>
      </c>
      <c r="C28" s="36">
        <f t="shared" si="1"/>
        <v>412.74768017331792</v>
      </c>
      <c r="D28" s="36">
        <f t="shared" si="2"/>
        <v>183.71082823875975</v>
      </c>
      <c r="E28" s="34">
        <f t="shared" si="3"/>
        <v>76015.860896066079</v>
      </c>
    </row>
    <row r="29" spans="1:5">
      <c r="A29" s="2">
        <v>24</v>
      </c>
      <c r="B29" s="35">
        <f t="shared" si="0"/>
        <v>596.45850841207766</v>
      </c>
      <c r="C29" s="36">
        <f t="shared" si="1"/>
        <v>411.75257985369126</v>
      </c>
      <c r="D29" s="36">
        <f t="shared" si="2"/>
        <v>184.7059285583864</v>
      </c>
      <c r="E29" s="34">
        <f t="shared" si="3"/>
        <v>75831.154967507697</v>
      </c>
    </row>
    <row r="30" spans="1:5">
      <c r="A30" s="2">
        <v>25</v>
      </c>
      <c r="B30" s="35">
        <f t="shared" si="0"/>
        <v>596.45850841207766</v>
      </c>
      <c r="C30" s="36">
        <f t="shared" si="1"/>
        <v>410.75208940733336</v>
      </c>
      <c r="D30" s="36">
        <f t="shared" si="2"/>
        <v>185.7064190047443</v>
      </c>
      <c r="E30" s="34">
        <f t="shared" si="3"/>
        <v>75645.448548502958</v>
      </c>
    </row>
    <row r="31" spans="1:5">
      <c r="A31" s="2">
        <v>26</v>
      </c>
      <c r="B31" s="35">
        <f t="shared" si="0"/>
        <v>596.45850841207766</v>
      </c>
      <c r="C31" s="36">
        <f t="shared" si="1"/>
        <v>409.74617963772437</v>
      </c>
      <c r="D31" s="36">
        <f t="shared" si="2"/>
        <v>186.7123287743533</v>
      </c>
      <c r="E31" s="34">
        <f t="shared" si="3"/>
        <v>75458.736219728598</v>
      </c>
    </row>
    <row r="32" spans="1:5">
      <c r="A32" s="2">
        <v>27</v>
      </c>
      <c r="B32" s="35">
        <f t="shared" si="0"/>
        <v>596.45850841207766</v>
      </c>
      <c r="C32" s="36">
        <f t="shared" si="1"/>
        <v>408.73482119019661</v>
      </c>
      <c r="D32" s="36">
        <f t="shared" si="2"/>
        <v>187.72368722188105</v>
      </c>
      <c r="E32" s="34">
        <f t="shared" si="3"/>
        <v>75271.01253250672</v>
      </c>
    </row>
    <row r="33" spans="1:5">
      <c r="A33" s="2">
        <v>28</v>
      </c>
      <c r="B33" s="35">
        <f t="shared" si="0"/>
        <v>596.45850841207766</v>
      </c>
      <c r="C33" s="36">
        <f t="shared" si="1"/>
        <v>407.71798455107808</v>
      </c>
      <c r="D33" s="36">
        <f t="shared" si="2"/>
        <v>188.74052386099959</v>
      </c>
      <c r="E33" s="34">
        <f t="shared" si="3"/>
        <v>75082.272008645727</v>
      </c>
    </row>
    <row r="34" spans="1:5">
      <c r="A34" s="2">
        <v>29</v>
      </c>
      <c r="B34" s="35">
        <f t="shared" si="0"/>
        <v>596.45850841207766</v>
      </c>
      <c r="C34" s="36">
        <f t="shared" si="1"/>
        <v>406.69564004683104</v>
      </c>
      <c r="D34" s="36">
        <f t="shared" si="2"/>
        <v>189.76286836524662</v>
      </c>
      <c r="E34" s="34">
        <f t="shared" si="3"/>
        <v>74892.509140280483</v>
      </c>
    </row>
    <row r="35" spans="1:5">
      <c r="A35" s="2">
        <v>30</v>
      </c>
      <c r="B35" s="35">
        <f t="shared" si="0"/>
        <v>596.45850841207766</v>
      </c>
      <c r="C35" s="36">
        <f t="shared" si="1"/>
        <v>405.66775784318594</v>
      </c>
      <c r="D35" s="36">
        <f t="shared" si="2"/>
        <v>190.79075056889172</v>
      </c>
      <c r="E35" s="34">
        <f t="shared" si="3"/>
        <v>74701.71838971159</v>
      </c>
    </row>
    <row r="36" spans="1:5">
      <c r="A36" s="2">
        <v>31</v>
      </c>
      <c r="B36" s="35">
        <f t="shared" si="0"/>
        <v>596.45850841207766</v>
      </c>
      <c r="C36" s="36">
        <f t="shared" si="1"/>
        <v>404.63430794427114</v>
      </c>
      <c r="D36" s="36">
        <f t="shared" si="2"/>
        <v>191.82420046780652</v>
      </c>
      <c r="E36" s="34">
        <f t="shared" si="3"/>
        <v>74509.894189243787</v>
      </c>
    </row>
    <row r="37" spans="1:5">
      <c r="A37" s="2">
        <v>32</v>
      </c>
      <c r="B37" s="35">
        <f t="shared" si="0"/>
        <v>596.45850841207766</v>
      </c>
      <c r="C37" s="36">
        <f t="shared" si="1"/>
        <v>403.59526019173717</v>
      </c>
      <c r="D37" s="36">
        <f t="shared" si="2"/>
        <v>192.86324822034049</v>
      </c>
      <c r="E37" s="34">
        <f t="shared" si="3"/>
        <v>74317.030941023448</v>
      </c>
    </row>
    <row r="38" spans="1:5">
      <c r="A38" s="2">
        <v>33</v>
      </c>
      <c r="B38" s="35">
        <f t="shared" si="0"/>
        <v>596.45850841207766</v>
      </c>
      <c r="C38" s="36">
        <f t="shared" si="1"/>
        <v>402.550584263877</v>
      </c>
      <c r="D38" s="36">
        <f t="shared" si="2"/>
        <v>193.90792414820066</v>
      </c>
      <c r="E38" s="34">
        <f t="shared" si="3"/>
        <v>74123.123016875252</v>
      </c>
    </row>
    <row r="39" spans="1:5">
      <c r="A39" s="2">
        <v>34</v>
      </c>
      <c r="B39" s="35">
        <f t="shared" si="0"/>
        <v>596.45850841207766</v>
      </c>
      <c r="C39" s="36">
        <f t="shared" si="1"/>
        <v>401.50024967474099</v>
      </c>
      <c r="D39" s="36">
        <f t="shared" si="2"/>
        <v>194.95825873733668</v>
      </c>
      <c r="E39" s="34">
        <f t="shared" si="3"/>
        <v>73928.164758137922</v>
      </c>
    </row>
    <row r="40" spans="1:5">
      <c r="A40" s="2">
        <v>35</v>
      </c>
      <c r="B40" s="35">
        <f t="shared" si="0"/>
        <v>596.45850841207766</v>
      </c>
      <c r="C40" s="36">
        <f t="shared" si="1"/>
        <v>400.44422577324707</v>
      </c>
      <c r="D40" s="36">
        <f t="shared" si="2"/>
        <v>196.01428263883059</v>
      </c>
      <c r="E40" s="34">
        <f t="shared" si="3"/>
        <v>73732.150475499089</v>
      </c>
    </row>
    <row r="41" spans="1:5">
      <c r="A41" s="2">
        <v>36</v>
      </c>
      <c r="B41" s="35">
        <f t="shared" si="0"/>
        <v>596.45850841207766</v>
      </c>
      <c r="C41" s="36">
        <f t="shared" si="1"/>
        <v>399.38248174228676</v>
      </c>
      <c r="D41" s="36">
        <f t="shared" si="2"/>
        <v>197.07602666979091</v>
      </c>
      <c r="E41" s="34">
        <f t="shared" si="3"/>
        <v>73535.074448829298</v>
      </c>
    </row>
    <row r="42" spans="1:5">
      <c r="A42" s="2">
        <v>37</v>
      </c>
      <c r="B42" s="35">
        <f t="shared" si="0"/>
        <v>596.45850841207766</v>
      </c>
      <c r="C42" s="36">
        <f t="shared" si="1"/>
        <v>398.3149865978254</v>
      </c>
      <c r="D42" s="36">
        <f t="shared" si="2"/>
        <v>198.14352181425227</v>
      </c>
      <c r="E42" s="34">
        <f t="shared" si="3"/>
        <v>73336.930927015041</v>
      </c>
    </row>
    <row r="43" spans="1:5">
      <c r="A43" s="2">
        <v>38</v>
      </c>
      <c r="B43" s="35">
        <f t="shared" si="0"/>
        <v>596.45850841207766</v>
      </c>
      <c r="C43" s="36">
        <f t="shared" si="1"/>
        <v>397.24170918799814</v>
      </c>
      <c r="D43" s="36">
        <f t="shared" si="2"/>
        <v>199.21679922407952</v>
      </c>
      <c r="E43" s="34">
        <f t="shared" si="3"/>
        <v>73137.714127790954</v>
      </c>
    </row>
    <row r="44" spans="1:5">
      <c r="A44" s="2">
        <v>39</v>
      </c>
      <c r="B44" s="35">
        <f t="shared" si="0"/>
        <v>596.45850841207766</v>
      </c>
      <c r="C44" s="36">
        <f t="shared" si="1"/>
        <v>396.16261819220102</v>
      </c>
      <c r="D44" s="36">
        <f t="shared" si="2"/>
        <v>200.29589021987664</v>
      </c>
      <c r="E44" s="34">
        <f t="shared" si="3"/>
        <v>72937.418237571081</v>
      </c>
    </row>
    <row r="45" spans="1:5">
      <c r="A45" s="2">
        <v>40</v>
      </c>
      <c r="B45" s="35">
        <f t="shared" si="0"/>
        <v>596.45850841207766</v>
      </c>
      <c r="C45" s="36">
        <f t="shared" si="1"/>
        <v>395.07768212017669</v>
      </c>
      <c r="D45" s="36">
        <f t="shared" si="2"/>
        <v>201.38082629190097</v>
      </c>
      <c r="E45" s="34">
        <f t="shared" si="3"/>
        <v>72736.037411279176</v>
      </c>
    </row>
    <row r="46" spans="1:5">
      <c r="A46" s="2">
        <v>41</v>
      </c>
      <c r="B46" s="35">
        <f t="shared" si="0"/>
        <v>596.45850841207766</v>
      </c>
      <c r="C46" s="36">
        <f t="shared" si="1"/>
        <v>393.98686931109557</v>
      </c>
      <c r="D46" s="36">
        <f t="shared" si="2"/>
        <v>202.47163910098209</v>
      </c>
      <c r="E46" s="34">
        <f t="shared" si="3"/>
        <v>72533.56577217819</v>
      </c>
    </row>
    <row r="47" spans="1:5">
      <c r="A47" s="2">
        <v>42</v>
      </c>
      <c r="B47" s="35">
        <f t="shared" si="0"/>
        <v>596.45850841207766</v>
      </c>
      <c r="C47" s="36">
        <f t="shared" si="1"/>
        <v>392.89014793263186</v>
      </c>
      <c r="D47" s="36">
        <f t="shared" si="2"/>
        <v>203.5683604794458</v>
      </c>
      <c r="E47" s="34">
        <f t="shared" si="3"/>
        <v>72329.997411698743</v>
      </c>
    </row>
    <row r="48" spans="1:5">
      <c r="A48" s="2">
        <v>43</v>
      </c>
      <c r="B48" s="35">
        <f t="shared" si="0"/>
        <v>596.45850841207766</v>
      </c>
      <c r="C48" s="36">
        <f t="shared" si="1"/>
        <v>391.78748598003489</v>
      </c>
      <c r="D48" s="36">
        <f t="shared" si="2"/>
        <v>204.67102243204278</v>
      </c>
      <c r="E48" s="34">
        <f t="shared" si="3"/>
        <v>72125.326389266702</v>
      </c>
    </row>
    <row r="49" spans="1:5">
      <c r="A49" s="2">
        <v>44</v>
      </c>
      <c r="B49" s="35">
        <f t="shared" si="0"/>
        <v>596.45850841207766</v>
      </c>
      <c r="C49" s="36">
        <f t="shared" si="1"/>
        <v>390.67885127519463</v>
      </c>
      <c r="D49" s="36">
        <f t="shared" si="2"/>
        <v>205.77965713688303</v>
      </c>
      <c r="E49" s="34">
        <f t="shared" si="3"/>
        <v>71919.54673212982</v>
      </c>
    </row>
    <row r="50" spans="1:5">
      <c r="A50" s="2">
        <v>45</v>
      </c>
      <c r="B50" s="35">
        <f t="shared" si="0"/>
        <v>596.45850841207766</v>
      </c>
      <c r="C50" s="36">
        <f t="shared" si="1"/>
        <v>389.56421146570318</v>
      </c>
      <c r="D50" s="36">
        <f t="shared" si="2"/>
        <v>206.89429694637448</v>
      </c>
      <c r="E50" s="34">
        <f t="shared" si="3"/>
        <v>71712.652435183452</v>
      </c>
    </row>
    <row r="51" spans="1:5">
      <c r="A51" s="2">
        <v>46</v>
      </c>
      <c r="B51" s="35">
        <f t="shared" si="0"/>
        <v>596.45850841207766</v>
      </c>
      <c r="C51" s="36">
        <f t="shared" si="1"/>
        <v>388.44353402391039</v>
      </c>
      <c r="D51" s="36">
        <f t="shared" si="2"/>
        <v>208.01497438816727</v>
      </c>
      <c r="E51" s="34">
        <f t="shared" si="3"/>
        <v>71504.637460795289</v>
      </c>
    </row>
    <row r="52" spans="1:5">
      <c r="A52" s="2">
        <v>47</v>
      </c>
      <c r="B52" s="35">
        <f t="shared" si="0"/>
        <v>596.45850841207766</v>
      </c>
      <c r="C52" s="36">
        <f t="shared" si="1"/>
        <v>387.31678624597447</v>
      </c>
      <c r="D52" s="36">
        <f t="shared" si="2"/>
        <v>209.14172216610319</v>
      </c>
      <c r="E52" s="34">
        <f t="shared" si="3"/>
        <v>71295.495738629179</v>
      </c>
    </row>
    <row r="53" spans="1:5">
      <c r="A53" s="2">
        <v>48</v>
      </c>
      <c r="B53" s="35">
        <f t="shared" si="0"/>
        <v>596.45850841207766</v>
      </c>
      <c r="C53" s="36">
        <f t="shared" si="1"/>
        <v>386.18393525090806</v>
      </c>
      <c r="D53" s="36">
        <f t="shared" si="2"/>
        <v>210.2745731611696</v>
      </c>
      <c r="E53" s="34">
        <f t="shared" si="3"/>
        <v>71085.221165468014</v>
      </c>
    </row>
    <row r="54" spans="1:5">
      <c r="A54" s="2">
        <v>49</v>
      </c>
      <c r="B54" s="35">
        <f t="shared" si="0"/>
        <v>596.45850841207766</v>
      </c>
      <c r="C54" s="36">
        <f t="shared" si="1"/>
        <v>385.04494797961843</v>
      </c>
      <c r="D54" s="36">
        <f t="shared" si="2"/>
        <v>211.41356043245924</v>
      </c>
      <c r="E54" s="34">
        <f t="shared" si="3"/>
        <v>70873.807605035559</v>
      </c>
    </row>
    <row r="55" spans="1:5">
      <c r="A55" s="2">
        <v>50</v>
      </c>
      <c r="B55" s="35">
        <f t="shared" si="0"/>
        <v>596.45850841207766</v>
      </c>
      <c r="C55" s="36">
        <f t="shared" si="1"/>
        <v>383.89979119394263</v>
      </c>
      <c r="D55" s="36">
        <f t="shared" si="2"/>
        <v>212.55871721813503</v>
      </c>
      <c r="E55" s="34">
        <f t="shared" si="3"/>
        <v>70661.248887817419</v>
      </c>
    </row>
    <row r="56" spans="1:5">
      <c r="A56" s="2">
        <v>51</v>
      </c>
      <c r="B56" s="35">
        <f t="shared" si="0"/>
        <v>596.45850841207766</v>
      </c>
      <c r="C56" s="36">
        <f t="shared" si="1"/>
        <v>382.74843147567771</v>
      </c>
      <c r="D56" s="36">
        <f t="shared" si="2"/>
        <v>213.71007693639996</v>
      </c>
      <c r="E56" s="34">
        <f t="shared" si="3"/>
        <v>70447.538810881015</v>
      </c>
    </row>
    <row r="57" spans="1:5">
      <c r="A57" s="2">
        <v>52</v>
      </c>
      <c r="B57" s="35">
        <f t="shared" si="0"/>
        <v>596.45850841207766</v>
      </c>
      <c r="C57" s="36">
        <f t="shared" si="1"/>
        <v>381.59083522560553</v>
      </c>
      <c r="D57" s="36">
        <f t="shared" si="2"/>
        <v>214.86767318647213</v>
      </c>
      <c r="E57" s="34">
        <f t="shared" si="3"/>
        <v>70232.671137694546</v>
      </c>
    </row>
    <row r="58" spans="1:5">
      <c r="A58" s="2">
        <v>53</v>
      </c>
      <c r="B58" s="35">
        <f t="shared" si="0"/>
        <v>596.45850841207766</v>
      </c>
      <c r="C58" s="36">
        <f t="shared" si="1"/>
        <v>380.42696866251214</v>
      </c>
      <c r="D58" s="36">
        <f t="shared" si="2"/>
        <v>216.03153974956552</v>
      </c>
      <c r="E58" s="34">
        <f t="shared" si="3"/>
        <v>70016.639597944974</v>
      </c>
    </row>
    <row r="59" spans="1:5">
      <c r="A59" s="2">
        <v>54</v>
      </c>
      <c r="B59" s="35">
        <f t="shared" si="0"/>
        <v>596.45850841207766</v>
      </c>
      <c r="C59" s="36">
        <f t="shared" si="1"/>
        <v>379.25679782220197</v>
      </c>
      <c r="D59" s="36">
        <f t="shared" si="2"/>
        <v>217.20171058987569</v>
      </c>
      <c r="E59" s="34">
        <f t="shared" si="3"/>
        <v>69799.437887355103</v>
      </c>
    </row>
    <row r="60" spans="1:5">
      <c r="A60" s="2">
        <v>55</v>
      </c>
      <c r="B60" s="35">
        <f t="shared" si="0"/>
        <v>596.45850841207766</v>
      </c>
      <c r="C60" s="36">
        <f t="shared" si="1"/>
        <v>378.08028855650684</v>
      </c>
      <c r="D60" s="36">
        <f t="shared" si="2"/>
        <v>218.37821985557082</v>
      </c>
      <c r="E60" s="34">
        <f t="shared" si="3"/>
        <v>69581.059667499532</v>
      </c>
    </row>
    <row r="61" spans="1:5">
      <c r="A61" s="2">
        <v>56</v>
      </c>
      <c r="B61" s="35">
        <f t="shared" si="0"/>
        <v>596.45850841207766</v>
      </c>
      <c r="C61" s="36">
        <f t="shared" si="1"/>
        <v>376.89740653228915</v>
      </c>
      <c r="D61" s="36">
        <f t="shared" si="2"/>
        <v>219.56110187978851</v>
      </c>
      <c r="E61" s="34">
        <f t="shared" si="3"/>
        <v>69361.498565619739</v>
      </c>
    </row>
    <row r="62" spans="1:5">
      <c r="A62" s="2">
        <v>57</v>
      </c>
      <c r="B62" s="35">
        <f t="shared" si="0"/>
        <v>596.45850841207766</v>
      </c>
      <c r="C62" s="36">
        <f t="shared" si="1"/>
        <v>375.70811723044028</v>
      </c>
      <c r="D62" s="36">
        <f t="shared" si="2"/>
        <v>220.75039118163738</v>
      </c>
      <c r="E62" s="34">
        <f t="shared" si="3"/>
        <v>69140.748174438108</v>
      </c>
    </row>
    <row r="63" spans="1:5">
      <c r="A63" s="2">
        <v>58</v>
      </c>
      <c r="B63" s="35">
        <f t="shared" si="0"/>
        <v>596.45850841207766</v>
      </c>
      <c r="C63" s="36">
        <f t="shared" si="1"/>
        <v>374.51238594487307</v>
      </c>
      <c r="D63" s="36">
        <f t="shared" si="2"/>
        <v>221.94612246720459</v>
      </c>
      <c r="E63" s="34">
        <f t="shared" si="3"/>
        <v>68918.80205197091</v>
      </c>
    </row>
    <row r="64" spans="1:5">
      <c r="A64" s="2">
        <v>59</v>
      </c>
      <c r="B64" s="35">
        <f t="shared" si="0"/>
        <v>596.45850841207766</v>
      </c>
      <c r="C64" s="36">
        <f t="shared" si="1"/>
        <v>373.31017778150908</v>
      </c>
      <c r="D64" s="36">
        <f t="shared" si="2"/>
        <v>223.14833063056858</v>
      </c>
      <c r="E64" s="34">
        <f t="shared" si="3"/>
        <v>68695.653721340335</v>
      </c>
    </row>
    <row r="65" spans="1:5">
      <c r="A65" s="2">
        <v>60</v>
      </c>
      <c r="B65" s="35">
        <f t="shared" si="0"/>
        <v>596.45850841207766</v>
      </c>
      <c r="C65" s="36">
        <f t="shared" si="1"/>
        <v>372.10145765726014</v>
      </c>
      <c r="D65" s="36">
        <f t="shared" si="2"/>
        <v>224.35705075481752</v>
      </c>
      <c r="E65" s="34">
        <f t="shared" si="3"/>
        <v>68471.296670585521</v>
      </c>
    </row>
    <row r="66" spans="1:5">
      <c r="A66" s="2">
        <v>61</v>
      </c>
      <c r="B66" s="35">
        <f t="shared" si="0"/>
        <v>596.45850841207766</v>
      </c>
      <c r="C66" s="36">
        <f t="shared" si="1"/>
        <v>370.88619029900491</v>
      </c>
      <c r="D66" s="36">
        <f t="shared" si="2"/>
        <v>225.57231811307275</v>
      </c>
      <c r="E66" s="34">
        <f t="shared" si="3"/>
        <v>68245.724352472447</v>
      </c>
    </row>
    <row r="67" spans="1:5">
      <c r="A67" s="2">
        <v>62</v>
      </c>
      <c r="B67" s="35">
        <f t="shared" si="0"/>
        <v>596.45850841207766</v>
      </c>
      <c r="C67" s="36">
        <f t="shared" si="1"/>
        <v>369.66434024255909</v>
      </c>
      <c r="D67" s="36">
        <f t="shared" si="2"/>
        <v>226.79416816951857</v>
      </c>
      <c r="E67" s="34">
        <f t="shared" si="3"/>
        <v>68018.930184302924</v>
      </c>
    </row>
    <row r="68" spans="1:5">
      <c r="A68" s="2">
        <v>63</v>
      </c>
      <c r="B68" s="35">
        <f t="shared" si="0"/>
        <v>596.45850841207766</v>
      </c>
      <c r="C68" s="36">
        <f t="shared" si="1"/>
        <v>368.43587183164084</v>
      </c>
      <c r="D68" s="36">
        <f t="shared" si="2"/>
        <v>228.02263658043682</v>
      </c>
      <c r="E68" s="34">
        <f t="shared" si="3"/>
        <v>67790.907547722483</v>
      </c>
    </row>
    <row r="69" spans="1:5">
      <c r="A69" s="2">
        <v>64</v>
      </c>
      <c r="B69" s="35">
        <f t="shared" si="0"/>
        <v>596.45850841207766</v>
      </c>
      <c r="C69" s="36">
        <f t="shared" si="1"/>
        <v>367.2007492168301</v>
      </c>
      <c r="D69" s="36">
        <f t="shared" si="2"/>
        <v>229.25775919524756</v>
      </c>
      <c r="E69" s="34">
        <f t="shared" si="3"/>
        <v>67561.64978852724</v>
      </c>
    </row>
    <row r="70" spans="1:5">
      <c r="A70" s="2">
        <v>65</v>
      </c>
      <c r="B70" s="35">
        <f t="shared" si="0"/>
        <v>596.45850841207766</v>
      </c>
      <c r="C70" s="36">
        <f t="shared" si="1"/>
        <v>365.95893635452256</v>
      </c>
      <c r="D70" s="36">
        <f t="shared" si="2"/>
        <v>230.4995720575551</v>
      </c>
      <c r="E70" s="34">
        <f t="shared" si="3"/>
        <v>67331.150216469687</v>
      </c>
    </row>
    <row r="71" spans="1:5">
      <c r="A71" s="2">
        <v>66</v>
      </c>
      <c r="B71" s="35">
        <f t="shared" ref="B71:B134" si="4">$H$10*-1</f>
        <v>596.45850841207766</v>
      </c>
      <c r="C71" s="36">
        <f t="shared" ref="C71:C134" si="5">(($H$9/12)*E70)</f>
        <v>364.7103970058775</v>
      </c>
      <c r="D71" s="36">
        <f t="shared" ref="D71:D134" si="6">B71-C71</f>
        <v>231.74811140620017</v>
      </c>
      <c r="E71" s="34">
        <f t="shared" ref="E71:E134" si="7">E70-D71</f>
        <v>67099.402105063491</v>
      </c>
    </row>
    <row r="72" spans="1:5">
      <c r="A72" s="2">
        <v>67</v>
      </c>
      <c r="B72" s="35">
        <f t="shared" si="4"/>
        <v>596.45850841207766</v>
      </c>
      <c r="C72" s="36">
        <f t="shared" si="5"/>
        <v>363.45509473576061</v>
      </c>
      <c r="D72" s="36">
        <f t="shared" si="6"/>
        <v>233.00341367631705</v>
      </c>
      <c r="E72" s="34">
        <f t="shared" si="7"/>
        <v>66866.398691387178</v>
      </c>
    </row>
    <row r="73" spans="1:5">
      <c r="A73" s="2">
        <v>68</v>
      </c>
      <c r="B73" s="35">
        <f t="shared" si="4"/>
        <v>596.45850841207766</v>
      </c>
      <c r="C73" s="36">
        <f t="shared" si="5"/>
        <v>362.19299291168056</v>
      </c>
      <c r="D73" s="36">
        <f t="shared" si="6"/>
        <v>234.2655155003971</v>
      </c>
      <c r="E73" s="34">
        <f t="shared" si="7"/>
        <v>66632.133175886775</v>
      </c>
    </row>
    <row r="74" spans="1:5">
      <c r="A74" s="2">
        <v>69</v>
      </c>
      <c r="B74" s="35">
        <f t="shared" si="4"/>
        <v>596.45850841207766</v>
      </c>
      <c r="C74" s="36">
        <f t="shared" si="5"/>
        <v>360.92405470272001</v>
      </c>
      <c r="D74" s="36">
        <f t="shared" si="6"/>
        <v>235.53445370935765</v>
      </c>
      <c r="E74" s="34">
        <f t="shared" si="7"/>
        <v>66396.598722177412</v>
      </c>
    </row>
    <row r="75" spans="1:5">
      <c r="A75" s="2">
        <v>70</v>
      </c>
      <c r="B75" s="35">
        <f t="shared" si="4"/>
        <v>596.45850841207766</v>
      </c>
      <c r="C75" s="36">
        <f t="shared" si="5"/>
        <v>359.64824307846101</v>
      </c>
      <c r="D75" s="36">
        <f t="shared" si="6"/>
        <v>236.81026533361666</v>
      </c>
      <c r="E75" s="34">
        <f t="shared" si="7"/>
        <v>66159.788456843802</v>
      </c>
    </row>
    <row r="76" spans="1:5">
      <c r="A76" s="2">
        <v>71</v>
      </c>
      <c r="B76" s="35">
        <f t="shared" si="4"/>
        <v>596.45850841207766</v>
      </c>
      <c r="C76" s="36">
        <f t="shared" si="5"/>
        <v>358.36552080790392</v>
      </c>
      <c r="D76" s="36">
        <f t="shared" si="6"/>
        <v>238.09298760417374</v>
      </c>
      <c r="E76" s="34">
        <f t="shared" si="7"/>
        <v>65921.695469239625</v>
      </c>
    </row>
    <row r="77" spans="1:5">
      <c r="A77" s="2">
        <v>72</v>
      </c>
      <c r="B77" s="35">
        <f t="shared" si="4"/>
        <v>596.45850841207766</v>
      </c>
      <c r="C77" s="36">
        <f t="shared" si="5"/>
        <v>357.0758504583813</v>
      </c>
      <c r="D77" s="36">
        <f t="shared" si="6"/>
        <v>239.38265795369637</v>
      </c>
      <c r="E77" s="34">
        <f t="shared" si="7"/>
        <v>65682.312811285927</v>
      </c>
    </row>
    <row r="78" spans="1:5">
      <c r="A78" s="2">
        <v>73</v>
      </c>
      <c r="B78" s="35">
        <f t="shared" si="4"/>
        <v>596.45850841207766</v>
      </c>
      <c r="C78" s="36">
        <f t="shared" si="5"/>
        <v>355.77919439446543</v>
      </c>
      <c r="D78" s="36">
        <f t="shared" si="6"/>
        <v>240.67931401761223</v>
      </c>
      <c r="E78" s="34">
        <f t="shared" si="7"/>
        <v>65441.633497268318</v>
      </c>
    </row>
    <row r="79" spans="1:5">
      <c r="A79" s="2">
        <v>74</v>
      </c>
      <c r="B79" s="35">
        <f t="shared" si="4"/>
        <v>596.45850841207766</v>
      </c>
      <c r="C79" s="36">
        <f t="shared" si="5"/>
        <v>354.47551477687006</v>
      </c>
      <c r="D79" s="36">
        <f t="shared" si="6"/>
        <v>241.98299363520761</v>
      </c>
      <c r="E79" s="34">
        <f t="shared" si="7"/>
        <v>65199.650503633107</v>
      </c>
    </row>
    <row r="80" spans="1:5">
      <c r="A80" s="2">
        <v>75</v>
      </c>
      <c r="B80" s="35">
        <f t="shared" si="4"/>
        <v>596.45850841207766</v>
      </c>
      <c r="C80" s="36">
        <f t="shared" si="5"/>
        <v>353.16477356134601</v>
      </c>
      <c r="D80" s="36">
        <f t="shared" si="6"/>
        <v>243.29373485073165</v>
      </c>
      <c r="E80" s="34">
        <f t="shared" si="7"/>
        <v>64956.356768782374</v>
      </c>
    </row>
    <row r="81" spans="1:5">
      <c r="A81" s="2">
        <v>76</v>
      </c>
      <c r="B81" s="35">
        <f t="shared" si="4"/>
        <v>596.45850841207766</v>
      </c>
      <c r="C81" s="36">
        <f t="shared" si="5"/>
        <v>351.84693249757123</v>
      </c>
      <c r="D81" s="36">
        <f t="shared" si="6"/>
        <v>244.61157591450643</v>
      </c>
      <c r="E81" s="34">
        <f t="shared" si="7"/>
        <v>64711.745192867871</v>
      </c>
    </row>
    <row r="82" spans="1:5">
      <c r="A82" s="2">
        <v>77</v>
      </c>
      <c r="B82" s="35">
        <f t="shared" si="4"/>
        <v>596.45850841207766</v>
      </c>
      <c r="C82" s="36">
        <f t="shared" si="5"/>
        <v>350.52195312803434</v>
      </c>
      <c r="D82" s="36">
        <f t="shared" si="6"/>
        <v>245.93655528404332</v>
      </c>
      <c r="E82" s="34">
        <f t="shared" si="7"/>
        <v>64465.808637583825</v>
      </c>
    </row>
    <row r="83" spans="1:5">
      <c r="A83" s="2">
        <v>78</v>
      </c>
      <c r="B83" s="35">
        <f t="shared" si="4"/>
        <v>596.45850841207766</v>
      </c>
      <c r="C83" s="36">
        <f t="shared" si="5"/>
        <v>349.18979678691238</v>
      </c>
      <c r="D83" s="36">
        <f t="shared" si="6"/>
        <v>247.26871162516528</v>
      </c>
      <c r="E83" s="34">
        <f t="shared" si="7"/>
        <v>64218.539925958663</v>
      </c>
    </row>
    <row r="84" spans="1:5">
      <c r="A84" s="2">
        <v>79</v>
      </c>
      <c r="B84" s="35">
        <f t="shared" si="4"/>
        <v>596.45850841207766</v>
      </c>
      <c r="C84" s="36">
        <f t="shared" si="5"/>
        <v>347.85042459894277</v>
      </c>
      <c r="D84" s="36">
        <f t="shared" si="6"/>
        <v>248.6080838131349</v>
      </c>
      <c r="E84" s="34">
        <f t="shared" si="7"/>
        <v>63969.931842145525</v>
      </c>
    </row>
    <row r="85" spans="1:5">
      <c r="A85" s="2">
        <v>80</v>
      </c>
      <c r="B85" s="35">
        <f t="shared" si="4"/>
        <v>596.45850841207766</v>
      </c>
      <c r="C85" s="36">
        <f t="shared" si="5"/>
        <v>346.50379747828828</v>
      </c>
      <c r="D85" s="36">
        <f t="shared" si="6"/>
        <v>249.95471093378939</v>
      </c>
      <c r="E85" s="34">
        <f t="shared" si="7"/>
        <v>63719.977131211737</v>
      </c>
    </row>
    <row r="86" spans="1:5">
      <c r="A86" s="2">
        <v>81</v>
      </c>
      <c r="B86" s="35">
        <f t="shared" si="4"/>
        <v>596.45850841207766</v>
      </c>
      <c r="C86" s="36">
        <f t="shared" si="5"/>
        <v>345.14987612739691</v>
      </c>
      <c r="D86" s="36">
        <f t="shared" si="6"/>
        <v>251.30863228468075</v>
      </c>
      <c r="E86" s="34">
        <f t="shared" si="7"/>
        <v>63468.668498927058</v>
      </c>
    </row>
    <row r="87" spans="1:5">
      <c r="A87" s="2">
        <v>82</v>
      </c>
      <c r="B87" s="35">
        <f t="shared" si="4"/>
        <v>596.45850841207766</v>
      </c>
      <c r="C87" s="36">
        <f t="shared" si="5"/>
        <v>343.78862103585493</v>
      </c>
      <c r="D87" s="36">
        <f t="shared" si="6"/>
        <v>252.66988737622273</v>
      </c>
      <c r="E87" s="34">
        <f t="shared" si="7"/>
        <v>63215.998611550836</v>
      </c>
    </row>
    <row r="88" spans="1:5">
      <c r="A88" s="2">
        <v>83</v>
      </c>
      <c r="B88" s="35">
        <f t="shared" si="4"/>
        <v>596.45850841207766</v>
      </c>
      <c r="C88" s="36">
        <f t="shared" si="5"/>
        <v>342.41999247923371</v>
      </c>
      <c r="D88" s="36">
        <f t="shared" si="6"/>
        <v>254.03851593284395</v>
      </c>
      <c r="E88" s="34">
        <f t="shared" si="7"/>
        <v>62961.960095617993</v>
      </c>
    </row>
    <row r="89" spans="1:5">
      <c r="A89" s="2">
        <v>84</v>
      </c>
      <c r="B89" s="35">
        <f t="shared" si="4"/>
        <v>596.45850841207766</v>
      </c>
      <c r="C89" s="36">
        <f t="shared" si="5"/>
        <v>341.0439505179308</v>
      </c>
      <c r="D89" s="36">
        <f t="shared" si="6"/>
        <v>255.41455789414687</v>
      </c>
      <c r="E89" s="34">
        <f t="shared" si="7"/>
        <v>62706.545537723847</v>
      </c>
    </row>
    <row r="90" spans="1:5">
      <c r="A90" s="2">
        <v>85</v>
      </c>
      <c r="B90" s="35">
        <f t="shared" si="4"/>
        <v>596.45850841207766</v>
      </c>
      <c r="C90" s="36">
        <f t="shared" si="5"/>
        <v>339.6604549960042</v>
      </c>
      <c r="D90" s="36">
        <f t="shared" si="6"/>
        <v>256.79805341607346</v>
      </c>
      <c r="E90" s="34">
        <f t="shared" si="7"/>
        <v>62449.747484307773</v>
      </c>
    </row>
    <row r="91" spans="1:5">
      <c r="A91" s="2">
        <v>86</v>
      </c>
      <c r="B91" s="35">
        <f t="shared" si="4"/>
        <v>596.45850841207766</v>
      </c>
      <c r="C91" s="36">
        <f t="shared" si="5"/>
        <v>338.26946554000045</v>
      </c>
      <c r="D91" s="36">
        <f t="shared" si="6"/>
        <v>258.18904287207721</v>
      </c>
      <c r="E91" s="34">
        <f t="shared" si="7"/>
        <v>62191.558441435693</v>
      </c>
    </row>
    <row r="92" spans="1:5">
      <c r="A92" s="2">
        <v>87</v>
      </c>
      <c r="B92" s="35">
        <f t="shared" si="4"/>
        <v>596.45850841207766</v>
      </c>
      <c r="C92" s="36">
        <f t="shared" si="5"/>
        <v>336.87094155777669</v>
      </c>
      <c r="D92" s="36">
        <f t="shared" si="6"/>
        <v>259.58756685430097</v>
      </c>
      <c r="E92" s="34">
        <f t="shared" si="7"/>
        <v>61931.970874581391</v>
      </c>
    </row>
    <row r="93" spans="1:5">
      <c r="A93" s="2">
        <v>88</v>
      </c>
      <c r="B93" s="35">
        <f t="shared" si="4"/>
        <v>596.45850841207766</v>
      </c>
      <c r="C93" s="36">
        <f t="shared" si="5"/>
        <v>335.46484223731591</v>
      </c>
      <c r="D93" s="36">
        <f t="shared" si="6"/>
        <v>260.99366617476176</v>
      </c>
      <c r="E93" s="34">
        <f t="shared" si="7"/>
        <v>61670.977208406628</v>
      </c>
    </row>
    <row r="94" spans="1:5">
      <c r="A94" s="2">
        <v>89</v>
      </c>
      <c r="B94" s="35">
        <f t="shared" si="4"/>
        <v>596.45850841207766</v>
      </c>
      <c r="C94" s="36">
        <f t="shared" si="5"/>
        <v>334.05112654553591</v>
      </c>
      <c r="D94" s="36">
        <f t="shared" si="6"/>
        <v>262.40738186654175</v>
      </c>
      <c r="E94" s="34">
        <f t="shared" si="7"/>
        <v>61408.569826540086</v>
      </c>
    </row>
    <row r="95" spans="1:5">
      <c r="A95" s="2">
        <v>90</v>
      </c>
      <c r="B95" s="35">
        <f t="shared" si="4"/>
        <v>596.45850841207766</v>
      </c>
      <c r="C95" s="36">
        <f t="shared" si="5"/>
        <v>332.62975322709212</v>
      </c>
      <c r="D95" s="36">
        <f t="shared" si="6"/>
        <v>263.82875518498554</v>
      </c>
      <c r="E95" s="34">
        <f t="shared" si="7"/>
        <v>61144.7410713551</v>
      </c>
    </row>
    <row r="96" spans="1:5">
      <c r="A96" s="2">
        <v>91</v>
      </c>
      <c r="B96" s="35">
        <f t="shared" si="4"/>
        <v>596.45850841207766</v>
      </c>
      <c r="C96" s="36">
        <f t="shared" si="5"/>
        <v>331.20068080317344</v>
      </c>
      <c r="D96" s="36">
        <f t="shared" si="6"/>
        <v>265.25782760890422</v>
      </c>
      <c r="E96" s="34">
        <f t="shared" si="7"/>
        <v>60879.483243746196</v>
      </c>
    </row>
    <row r="97" spans="1:5">
      <c r="A97" s="2">
        <v>92</v>
      </c>
      <c r="B97" s="35">
        <f t="shared" si="4"/>
        <v>596.45850841207766</v>
      </c>
      <c r="C97" s="36">
        <f t="shared" si="5"/>
        <v>329.76386757029189</v>
      </c>
      <c r="D97" s="36">
        <f t="shared" si="6"/>
        <v>266.69464084178577</v>
      </c>
      <c r="E97" s="34">
        <f t="shared" si="7"/>
        <v>60612.788602904409</v>
      </c>
    </row>
    <row r="98" spans="1:5">
      <c r="A98" s="2">
        <v>93</v>
      </c>
      <c r="B98" s="35">
        <f t="shared" si="4"/>
        <v>596.45850841207766</v>
      </c>
      <c r="C98" s="36">
        <f t="shared" si="5"/>
        <v>328.31927159906559</v>
      </c>
      <c r="D98" s="36">
        <f t="shared" si="6"/>
        <v>268.13923681301208</v>
      </c>
      <c r="E98" s="34">
        <f t="shared" si="7"/>
        <v>60344.649366091398</v>
      </c>
    </row>
    <row r="99" spans="1:5">
      <c r="A99" s="2">
        <v>94</v>
      </c>
      <c r="B99" s="35">
        <f t="shared" si="4"/>
        <v>596.45850841207766</v>
      </c>
      <c r="C99" s="36">
        <f t="shared" si="5"/>
        <v>326.86685073299509</v>
      </c>
      <c r="D99" s="36">
        <f t="shared" si="6"/>
        <v>269.59165767908257</v>
      </c>
      <c r="E99" s="34">
        <f t="shared" si="7"/>
        <v>60075.057708412314</v>
      </c>
    </row>
    <row r="100" spans="1:5">
      <c r="A100" s="2">
        <v>95</v>
      </c>
      <c r="B100" s="35">
        <f t="shared" si="4"/>
        <v>596.45850841207766</v>
      </c>
      <c r="C100" s="36">
        <f t="shared" si="5"/>
        <v>325.4065625872334</v>
      </c>
      <c r="D100" s="36">
        <f t="shared" si="6"/>
        <v>271.05194582484427</v>
      </c>
      <c r="E100" s="34">
        <f t="shared" si="7"/>
        <v>59804.005762587469</v>
      </c>
    </row>
    <row r="101" spans="1:5">
      <c r="A101" s="2">
        <v>96</v>
      </c>
      <c r="B101" s="35">
        <f t="shared" si="4"/>
        <v>596.45850841207766</v>
      </c>
      <c r="C101" s="36">
        <f t="shared" si="5"/>
        <v>323.93836454734878</v>
      </c>
      <c r="D101" s="36">
        <f t="shared" si="6"/>
        <v>272.52014386472888</v>
      </c>
      <c r="E101" s="34">
        <f t="shared" si="7"/>
        <v>59531.485618722741</v>
      </c>
    </row>
    <row r="102" spans="1:5">
      <c r="A102" s="2">
        <v>97</v>
      </c>
      <c r="B102" s="35">
        <f t="shared" si="4"/>
        <v>596.45850841207766</v>
      </c>
      <c r="C102" s="36">
        <f t="shared" si="5"/>
        <v>322.46221376808154</v>
      </c>
      <c r="D102" s="36">
        <f t="shared" si="6"/>
        <v>273.99629464399612</v>
      </c>
      <c r="E102" s="34">
        <f t="shared" si="7"/>
        <v>59257.489324078742</v>
      </c>
    </row>
    <row r="103" spans="1:5">
      <c r="A103" s="2">
        <v>98</v>
      </c>
      <c r="B103" s="35">
        <f t="shared" si="4"/>
        <v>596.45850841207766</v>
      </c>
      <c r="C103" s="36">
        <f t="shared" si="5"/>
        <v>320.97806717209318</v>
      </c>
      <c r="D103" s="36">
        <f t="shared" si="6"/>
        <v>275.48044123998449</v>
      </c>
      <c r="E103" s="34">
        <f t="shared" si="7"/>
        <v>58982.00888283876</v>
      </c>
    </row>
    <row r="104" spans="1:5">
      <c r="A104" s="2">
        <v>99</v>
      </c>
      <c r="B104" s="35">
        <f t="shared" si="4"/>
        <v>596.45850841207766</v>
      </c>
      <c r="C104" s="36">
        <f t="shared" si="5"/>
        <v>319.48588144870996</v>
      </c>
      <c r="D104" s="36">
        <f t="shared" si="6"/>
        <v>276.9726269633677</v>
      </c>
      <c r="E104" s="34">
        <f t="shared" si="7"/>
        <v>58705.036255875391</v>
      </c>
    </row>
    <row r="105" spans="1:5">
      <c r="A105" s="2">
        <v>100</v>
      </c>
      <c r="B105" s="35">
        <f t="shared" si="4"/>
        <v>596.45850841207766</v>
      </c>
      <c r="C105" s="36">
        <f t="shared" si="5"/>
        <v>317.98561305265838</v>
      </c>
      <c r="D105" s="36">
        <f t="shared" si="6"/>
        <v>278.47289535941928</v>
      </c>
      <c r="E105" s="34">
        <f t="shared" si="7"/>
        <v>58426.563360515975</v>
      </c>
    </row>
    <row r="106" spans="1:5">
      <c r="A106" s="2">
        <v>101</v>
      </c>
      <c r="B106" s="35">
        <f t="shared" si="4"/>
        <v>596.45850841207766</v>
      </c>
      <c r="C106" s="36">
        <f t="shared" si="5"/>
        <v>316.47721820279486</v>
      </c>
      <c r="D106" s="36">
        <f t="shared" si="6"/>
        <v>279.9812902092828</v>
      </c>
      <c r="E106" s="34">
        <f t="shared" si="7"/>
        <v>58146.582070306693</v>
      </c>
    </row>
    <row r="107" spans="1:5">
      <c r="A107" s="2">
        <v>102</v>
      </c>
      <c r="B107" s="35">
        <f t="shared" si="4"/>
        <v>596.45850841207766</v>
      </c>
      <c r="C107" s="36">
        <f t="shared" si="5"/>
        <v>314.96065288082792</v>
      </c>
      <c r="D107" s="36">
        <f t="shared" si="6"/>
        <v>281.49785553124974</v>
      </c>
      <c r="E107" s="34">
        <f t="shared" si="7"/>
        <v>57865.084214775445</v>
      </c>
    </row>
    <row r="108" spans="1:5">
      <c r="A108" s="2">
        <v>103</v>
      </c>
      <c r="B108" s="35">
        <f t="shared" si="4"/>
        <v>596.45850841207766</v>
      </c>
      <c r="C108" s="36">
        <f t="shared" si="5"/>
        <v>313.43587283003365</v>
      </c>
      <c r="D108" s="36">
        <f t="shared" si="6"/>
        <v>283.02263558204402</v>
      </c>
      <c r="E108" s="34">
        <f t="shared" si="7"/>
        <v>57582.061579193403</v>
      </c>
    </row>
    <row r="109" spans="1:5">
      <c r="A109" s="2">
        <v>104</v>
      </c>
      <c r="B109" s="35">
        <f t="shared" si="4"/>
        <v>596.45850841207766</v>
      </c>
      <c r="C109" s="36">
        <f t="shared" si="5"/>
        <v>311.90283355396429</v>
      </c>
      <c r="D109" s="36">
        <f t="shared" si="6"/>
        <v>284.55567485811338</v>
      </c>
      <c r="E109" s="34">
        <f t="shared" si="7"/>
        <v>57297.505904335289</v>
      </c>
    </row>
    <row r="110" spans="1:5">
      <c r="A110" s="2">
        <v>105</v>
      </c>
      <c r="B110" s="35">
        <f t="shared" si="4"/>
        <v>596.45850841207766</v>
      </c>
      <c r="C110" s="36">
        <f t="shared" si="5"/>
        <v>310.36149031514947</v>
      </c>
      <c r="D110" s="36">
        <f t="shared" si="6"/>
        <v>286.0970180969282</v>
      </c>
      <c r="E110" s="34">
        <f t="shared" si="7"/>
        <v>57011.408886238358</v>
      </c>
    </row>
    <row r="111" spans="1:5">
      <c r="A111" s="2">
        <v>106</v>
      </c>
      <c r="B111" s="35">
        <f t="shared" si="4"/>
        <v>596.45850841207766</v>
      </c>
      <c r="C111" s="36">
        <f t="shared" si="5"/>
        <v>308.81179813379111</v>
      </c>
      <c r="D111" s="36">
        <f t="shared" si="6"/>
        <v>287.64671027828655</v>
      </c>
      <c r="E111" s="34">
        <f t="shared" si="7"/>
        <v>56723.762175960073</v>
      </c>
    </row>
    <row r="112" spans="1:5">
      <c r="A112" s="2">
        <v>107</v>
      </c>
      <c r="B112" s="35">
        <f t="shared" si="4"/>
        <v>596.45850841207766</v>
      </c>
      <c r="C112" s="36">
        <f t="shared" si="5"/>
        <v>307.25371178645042</v>
      </c>
      <c r="D112" s="36">
        <f t="shared" si="6"/>
        <v>289.20479662562724</v>
      </c>
      <c r="E112" s="34">
        <f t="shared" si="7"/>
        <v>56434.557379334445</v>
      </c>
    </row>
    <row r="113" spans="1:5">
      <c r="A113" s="2">
        <v>108</v>
      </c>
      <c r="B113" s="35">
        <f t="shared" si="4"/>
        <v>596.45850841207766</v>
      </c>
      <c r="C113" s="36">
        <f t="shared" si="5"/>
        <v>305.68718580472824</v>
      </c>
      <c r="D113" s="36">
        <f t="shared" si="6"/>
        <v>290.77132260734942</v>
      </c>
      <c r="E113" s="34">
        <f t="shared" si="7"/>
        <v>56143.786056727098</v>
      </c>
    </row>
    <row r="114" spans="1:5">
      <c r="A114" s="2">
        <v>109</v>
      </c>
      <c r="B114" s="35">
        <f t="shared" si="4"/>
        <v>596.45850841207766</v>
      </c>
      <c r="C114" s="36">
        <f t="shared" si="5"/>
        <v>304.11217447393847</v>
      </c>
      <c r="D114" s="36">
        <f t="shared" si="6"/>
        <v>292.3463339381392</v>
      </c>
      <c r="E114" s="34">
        <f t="shared" si="7"/>
        <v>55851.439722788957</v>
      </c>
    </row>
    <row r="115" spans="1:5">
      <c r="A115" s="2">
        <v>110</v>
      </c>
      <c r="B115" s="35">
        <f t="shared" si="4"/>
        <v>596.45850841207766</v>
      </c>
      <c r="C115" s="36">
        <f t="shared" si="5"/>
        <v>302.52863183177351</v>
      </c>
      <c r="D115" s="36">
        <f t="shared" si="6"/>
        <v>293.92987658030415</v>
      </c>
      <c r="E115" s="34">
        <f t="shared" si="7"/>
        <v>55557.509846208653</v>
      </c>
    </row>
    <row r="116" spans="1:5">
      <c r="A116" s="2">
        <v>111</v>
      </c>
      <c r="B116" s="35">
        <f t="shared" si="4"/>
        <v>596.45850841207766</v>
      </c>
      <c r="C116" s="36">
        <f t="shared" si="5"/>
        <v>300.93651166696355</v>
      </c>
      <c r="D116" s="36">
        <f t="shared" si="6"/>
        <v>295.52199674511411</v>
      </c>
      <c r="E116" s="34">
        <f t="shared" si="7"/>
        <v>55261.987849463541</v>
      </c>
    </row>
    <row r="117" spans="1:5">
      <c r="A117" s="2">
        <v>112</v>
      </c>
      <c r="B117" s="35">
        <f t="shared" si="4"/>
        <v>596.45850841207766</v>
      </c>
      <c r="C117" s="36">
        <f t="shared" si="5"/>
        <v>299.33576751792754</v>
      </c>
      <c r="D117" s="36">
        <f t="shared" si="6"/>
        <v>297.12274089415013</v>
      </c>
      <c r="E117" s="34">
        <f t="shared" si="7"/>
        <v>54964.865108569393</v>
      </c>
    </row>
    <row r="118" spans="1:5">
      <c r="A118" s="2">
        <v>113</v>
      </c>
      <c r="B118" s="35">
        <f t="shared" si="4"/>
        <v>596.45850841207766</v>
      </c>
      <c r="C118" s="36">
        <f t="shared" si="5"/>
        <v>297.72635267141754</v>
      </c>
      <c r="D118" s="36">
        <f t="shared" si="6"/>
        <v>298.73215574066012</v>
      </c>
      <c r="E118" s="34">
        <f t="shared" si="7"/>
        <v>54666.132952828732</v>
      </c>
    </row>
    <row r="119" spans="1:5">
      <c r="A119" s="2">
        <v>114</v>
      </c>
      <c r="B119" s="35">
        <f t="shared" si="4"/>
        <v>596.45850841207766</v>
      </c>
      <c r="C119" s="36">
        <f t="shared" si="5"/>
        <v>296.10822016115566</v>
      </c>
      <c r="D119" s="36">
        <f t="shared" si="6"/>
        <v>300.35028825092201</v>
      </c>
      <c r="E119" s="34">
        <f t="shared" si="7"/>
        <v>54365.782664577811</v>
      </c>
    </row>
    <row r="120" spans="1:5">
      <c r="A120" s="2">
        <v>115</v>
      </c>
      <c r="B120" s="35">
        <f t="shared" si="4"/>
        <v>596.45850841207766</v>
      </c>
      <c r="C120" s="36">
        <f t="shared" si="5"/>
        <v>294.48132276646317</v>
      </c>
      <c r="D120" s="36">
        <f t="shared" si="6"/>
        <v>301.9771856456145</v>
      </c>
      <c r="E120" s="34">
        <f t="shared" si="7"/>
        <v>54063.805478932198</v>
      </c>
    </row>
    <row r="121" spans="1:5">
      <c r="A121" s="2">
        <v>116</v>
      </c>
      <c r="B121" s="35">
        <f t="shared" si="4"/>
        <v>596.45850841207766</v>
      </c>
      <c r="C121" s="36">
        <f t="shared" si="5"/>
        <v>292.84561301088274</v>
      </c>
      <c r="D121" s="36">
        <f t="shared" si="6"/>
        <v>303.61289540119492</v>
      </c>
      <c r="E121" s="34">
        <f t="shared" si="7"/>
        <v>53760.192583531003</v>
      </c>
    </row>
    <row r="122" spans="1:5">
      <c r="A122" s="2">
        <v>117</v>
      </c>
      <c r="B122" s="35">
        <f t="shared" si="4"/>
        <v>596.45850841207766</v>
      </c>
      <c r="C122" s="36">
        <f t="shared" si="5"/>
        <v>291.20104316079295</v>
      </c>
      <c r="D122" s="36">
        <f t="shared" si="6"/>
        <v>305.25746525128471</v>
      </c>
      <c r="E122" s="34">
        <f t="shared" si="7"/>
        <v>53454.935118279718</v>
      </c>
    </row>
    <row r="123" spans="1:5">
      <c r="A123" s="2">
        <v>118</v>
      </c>
      <c r="B123" s="35">
        <f t="shared" si="4"/>
        <v>596.45850841207766</v>
      </c>
      <c r="C123" s="36">
        <f t="shared" si="5"/>
        <v>289.54756522401516</v>
      </c>
      <c r="D123" s="36">
        <f t="shared" si="6"/>
        <v>306.9109431880625</v>
      </c>
      <c r="E123" s="34">
        <f t="shared" si="7"/>
        <v>53148.024175091654</v>
      </c>
    </row>
    <row r="124" spans="1:5">
      <c r="A124" s="2">
        <v>119</v>
      </c>
      <c r="B124" s="35">
        <f t="shared" si="4"/>
        <v>596.45850841207766</v>
      </c>
      <c r="C124" s="36">
        <f t="shared" si="5"/>
        <v>287.88513094841312</v>
      </c>
      <c r="D124" s="36">
        <f t="shared" si="6"/>
        <v>308.57337746366454</v>
      </c>
      <c r="E124" s="34">
        <f t="shared" si="7"/>
        <v>52839.450797627993</v>
      </c>
    </row>
    <row r="125" spans="1:5">
      <c r="A125" s="2">
        <v>120</v>
      </c>
      <c r="B125" s="35">
        <f t="shared" si="4"/>
        <v>596.45850841207766</v>
      </c>
      <c r="C125" s="36">
        <f t="shared" si="5"/>
        <v>286.213691820485</v>
      </c>
      <c r="D125" s="36">
        <f t="shared" si="6"/>
        <v>310.24481659159267</v>
      </c>
      <c r="E125" s="34">
        <f t="shared" si="7"/>
        <v>52529.205981036401</v>
      </c>
    </row>
    <row r="126" spans="1:5">
      <c r="A126" s="2">
        <v>121</v>
      </c>
      <c r="B126" s="35">
        <f t="shared" si="4"/>
        <v>596.45850841207766</v>
      </c>
      <c r="C126" s="36">
        <f t="shared" si="5"/>
        <v>284.53319906394717</v>
      </c>
      <c r="D126" s="36">
        <f t="shared" si="6"/>
        <v>311.9253093481305</v>
      </c>
      <c r="E126" s="34">
        <f t="shared" si="7"/>
        <v>52217.28067168827</v>
      </c>
    </row>
    <row r="127" spans="1:5">
      <c r="A127" s="2">
        <v>122</v>
      </c>
      <c r="B127" s="35">
        <f t="shared" si="4"/>
        <v>596.45850841207766</v>
      </c>
      <c r="C127" s="36">
        <f t="shared" si="5"/>
        <v>282.84360363831149</v>
      </c>
      <c r="D127" s="36">
        <f t="shared" si="6"/>
        <v>313.61490477376617</v>
      </c>
      <c r="E127" s="34">
        <f t="shared" si="7"/>
        <v>51903.665766914506</v>
      </c>
    </row>
    <row r="128" spans="1:5">
      <c r="A128" s="2">
        <v>123</v>
      </c>
      <c r="B128" s="35">
        <f t="shared" si="4"/>
        <v>596.45850841207766</v>
      </c>
      <c r="C128" s="36">
        <f t="shared" si="5"/>
        <v>281.14485623745361</v>
      </c>
      <c r="D128" s="36">
        <f t="shared" si="6"/>
        <v>315.31365217462405</v>
      </c>
      <c r="E128" s="34">
        <f t="shared" si="7"/>
        <v>51588.352114739879</v>
      </c>
    </row>
    <row r="129" spans="1:5">
      <c r="A129" s="2">
        <v>124</v>
      </c>
      <c r="B129" s="35">
        <f t="shared" si="4"/>
        <v>596.45850841207766</v>
      </c>
      <c r="C129" s="36">
        <f t="shared" si="5"/>
        <v>279.43690728817433</v>
      </c>
      <c r="D129" s="36">
        <f t="shared" si="6"/>
        <v>317.02160112390334</v>
      </c>
      <c r="E129" s="34">
        <f t="shared" si="7"/>
        <v>51271.330513615976</v>
      </c>
    </row>
    <row r="130" spans="1:5">
      <c r="A130" s="2">
        <v>125</v>
      </c>
      <c r="B130" s="35">
        <f t="shared" si="4"/>
        <v>596.45850841207766</v>
      </c>
      <c r="C130" s="36">
        <f t="shared" si="5"/>
        <v>277.71970694875324</v>
      </c>
      <c r="D130" s="36">
        <f t="shared" si="6"/>
        <v>318.73880146332442</v>
      </c>
      <c r="E130" s="34">
        <f t="shared" si="7"/>
        <v>50952.591712152651</v>
      </c>
    </row>
    <row r="131" spans="1:5">
      <c r="A131" s="2">
        <v>126</v>
      </c>
      <c r="B131" s="35">
        <f t="shared" si="4"/>
        <v>596.45850841207766</v>
      </c>
      <c r="C131" s="36">
        <f t="shared" si="5"/>
        <v>275.99320510749351</v>
      </c>
      <c r="D131" s="36">
        <f t="shared" si="6"/>
        <v>320.46530330458415</v>
      </c>
      <c r="E131" s="34">
        <f t="shared" si="7"/>
        <v>50632.126408848068</v>
      </c>
    </row>
    <row r="132" spans="1:5">
      <c r="A132" s="2">
        <v>127</v>
      </c>
      <c r="B132" s="35">
        <f t="shared" si="4"/>
        <v>596.45850841207766</v>
      </c>
      <c r="C132" s="36">
        <f t="shared" si="5"/>
        <v>274.25735138126038</v>
      </c>
      <c r="D132" s="36">
        <f t="shared" si="6"/>
        <v>322.20115703081728</v>
      </c>
      <c r="E132" s="34">
        <f t="shared" si="7"/>
        <v>50309.925251817251</v>
      </c>
    </row>
    <row r="133" spans="1:5">
      <c r="A133" s="2">
        <v>128</v>
      </c>
      <c r="B133" s="35">
        <f t="shared" si="4"/>
        <v>596.45850841207766</v>
      </c>
      <c r="C133" s="36">
        <f t="shared" si="5"/>
        <v>272.51209511401009</v>
      </c>
      <c r="D133" s="36">
        <f t="shared" si="6"/>
        <v>323.94641329806757</v>
      </c>
      <c r="E133" s="34">
        <f t="shared" si="7"/>
        <v>49985.978838519186</v>
      </c>
    </row>
    <row r="134" spans="1:5">
      <c r="A134" s="2">
        <v>129</v>
      </c>
      <c r="B134" s="35">
        <f t="shared" si="4"/>
        <v>596.45850841207766</v>
      </c>
      <c r="C134" s="36">
        <f t="shared" si="5"/>
        <v>270.75738537531225</v>
      </c>
      <c r="D134" s="36">
        <f t="shared" si="6"/>
        <v>325.70112303676541</v>
      </c>
      <c r="E134" s="34">
        <f t="shared" si="7"/>
        <v>49660.277715482422</v>
      </c>
    </row>
    <row r="135" spans="1:5">
      <c r="A135" s="2">
        <v>130</v>
      </c>
      <c r="B135" s="35">
        <f t="shared" ref="B135:B198" si="8">$H$10*-1</f>
        <v>596.45850841207766</v>
      </c>
      <c r="C135" s="36">
        <f t="shared" ref="C135:C198" si="9">(($H$9/12)*E134)</f>
        <v>268.99317095886312</v>
      </c>
      <c r="D135" s="36">
        <f t="shared" ref="D135:D198" si="10">B135-C135</f>
        <v>327.46533745321454</v>
      </c>
      <c r="E135" s="34">
        <f t="shared" ref="E135:E198" si="11">E134-D135</f>
        <v>49332.812378029208</v>
      </c>
    </row>
    <row r="136" spans="1:5">
      <c r="A136" s="2">
        <v>131</v>
      </c>
      <c r="B136" s="35">
        <f t="shared" si="8"/>
        <v>596.45850841207766</v>
      </c>
      <c r="C136" s="36">
        <f t="shared" si="9"/>
        <v>267.21940038099154</v>
      </c>
      <c r="D136" s="36">
        <f t="shared" si="10"/>
        <v>329.23910803108612</v>
      </c>
      <c r="E136" s="34">
        <f t="shared" si="11"/>
        <v>49003.573269998124</v>
      </c>
    </row>
    <row r="137" spans="1:5">
      <c r="A137" s="2">
        <v>132</v>
      </c>
      <c r="B137" s="35">
        <f t="shared" si="8"/>
        <v>596.45850841207766</v>
      </c>
      <c r="C137" s="36">
        <f t="shared" si="9"/>
        <v>265.4360218791565</v>
      </c>
      <c r="D137" s="36">
        <f t="shared" si="10"/>
        <v>331.02248653292116</v>
      </c>
      <c r="E137" s="34">
        <f t="shared" si="11"/>
        <v>48672.550783465202</v>
      </c>
    </row>
    <row r="138" spans="1:5">
      <c r="A138" s="2">
        <v>133</v>
      </c>
      <c r="B138" s="35">
        <f t="shared" si="8"/>
        <v>596.45850841207766</v>
      </c>
      <c r="C138" s="36">
        <f t="shared" si="9"/>
        <v>263.6429834104365</v>
      </c>
      <c r="D138" s="36">
        <f t="shared" si="10"/>
        <v>332.81552500164116</v>
      </c>
      <c r="E138" s="34">
        <f t="shared" si="11"/>
        <v>48339.735258463559</v>
      </c>
    </row>
    <row r="139" spans="1:5">
      <c r="A139" s="2">
        <v>134</v>
      </c>
      <c r="B139" s="35">
        <f t="shared" si="8"/>
        <v>596.45850841207766</v>
      </c>
      <c r="C139" s="36">
        <f t="shared" si="9"/>
        <v>261.84023265001093</v>
      </c>
      <c r="D139" s="36">
        <f t="shared" si="10"/>
        <v>334.61827576206673</v>
      </c>
      <c r="E139" s="34">
        <f t="shared" si="11"/>
        <v>48005.116982701489</v>
      </c>
    </row>
    <row r="140" spans="1:5">
      <c r="A140" s="2">
        <v>135</v>
      </c>
      <c r="B140" s="35">
        <f t="shared" si="8"/>
        <v>596.45850841207766</v>
      </c>
      <c r="C140" s="36">
        <f t="shared" si="9"/>
        <v>260.02771698963306</v>
      </c>
      <c r="D140" s="36">
        <f t="shared" si="10"/>
        <v>336.4307914224446</v>
      </c>
      <c r="E140" s="34">
        <f t="shared" si="11"/>
        <v>47668.686191279048</v>
      </c>
    </row>
    <row r="141" spans="1:5">
      <c r="A141" s="2">
        <v>136</v>
      </c>
      <c r="B141" s="35">
        <f t="shared" si="8"/>
        <v>596.45850841207766</v>
      </c>
      <c r="C141" s="36">
        <f t="shared" si="9"/>
        <v>258.20538353609487</v>
      </c>
      <c r="D141" s="36">
        <f t="shared" si="10"/>
        <v>338.25312487598279</v>
      </c>
      <c r="E141" s="34">
        <f t="shared" si="11"/>
        <v>47330.433066403064</v>
      </c>
    </row>
    <row r="142" spans="1:5">
      <c r="A142" s="2">
        <v>137</v>
      </c>
      <c r="B142" s="35">
        <f t="shared" si="8"/>
        <v>596.45850841207766</v>
      </c>
      <c r="C142" s="36">
        <f t="shared" si="9"/>
        <v>256.37317910968329</v>
      </c>
      <c r="D142" s="36">
        <f t="shared" si="10"/>
        <v>340.08532930239437</v>
      </c>
      <c r="E142" s="34">
        <f t="shared" si="11"/>
        <v>46990.347737100667</v>
      </c>
    </row>
    <row r="143" spans="1:5">
      <c r="A143" s="2">
        <v>138</v>
      </c>
      <c r="B143" s="35">
        <f t="shared" si="8"/>
        <v>596.45850841207766</v>
      </c>
      <c r="C143" s="36">
        <f t="shared" si="9"/>
        <v>254.53105024262862</v>
      </c>
      <c r="D143" s="36">
        <f t="shared" si="10"/>
        <v>341.92745816944904</v>
      </c>
      <c r="E143" s="34">
        <f t="shared" si="11"/>
        <v>46648.420278931218</v>
      </c>
    </row>
    <row r="144" spans="1:5">
      <c r="A144" s="2">
        <v>139</v>
      </c>
      <c r="B144" s="35">
        <f t="shared" si="8"/>
        <v>596.45850841207766</v>
      </c>
      <c r="C144" s="36">
        <f t="shared" si="9"/>
        <v>252.67894317754411</v>
      </c>
      <c r="D144" s="36">
        <f t="shared" si="10"/>
        <v>343.77956523453355</v>
      </c>
      <c r="E144" s="34">
        <f t="shared" si="11"/>
        <v>46304.640713696688</v>
      </c>
    </row>
    <row r="145" spans="1:5">
      <c r="A145" s="2">
        <v>140</v>
      </c>
      <c r="B145" s="35">
        <f t="shared" si="8"/>
        <v>596.45850841207766</v>
      </c>
      <c r="C145" s="36">
        <f t="shared" si="9"/>
        <v>250.81680386585708</v>
      </c>
      <c r="D145" s="36">
        <f t="shared" si="10"/>
        <v>345.64170454622058</v>
      </c>
      <c r="E145" s="34">
        <f t="shared" si="11"/>
        <v>45958.999009150466</v>
      </c>
    </row>
    <row r="146" spans="1:5">
      <c r="A146" s="2">
        <v>141</v>
      </c>
      <c r="B146" s="35">
        <f t="shared" si="8"/>
        <v>596.45850841207766</v>
      </c>
      <c r="C146" s="36">
        <f t="shared" si="9"/>
        <v>248.94457796623169</v>
      </c>
      <c r="D146" s="36">
        <f t="shared" si="10"/>
        <v>347.51393044584597</v>
      </c>
      <c r="E146" s="34">
        <f t="shared" si="11"/>
        <v>45611.485078704623</v>
      </c>
    </row>
    <row r="147" spans="1:5">
      <c r="A147" s="2">
        <v>142</v>
      </c>
      <c r="B147" s="35">
        <f t="shared" si="8"/>
        <v>596.45850841207766</v>
      </c>
      <c r="C147" s="36">
        <f t="shared" si="9"/>
        <v>247.06221084298338</v>
      </c>
      <c r="D147" s="36">
        <f t="shared" si="10"/>
        <v>349.39629756909426</v>
      </c>
      <c r="E147" s="34">
        <f t="shared" si="11"/>
        <v>45262.088781135528</v>
      </c>
    </row>
    <row r="148" spans="1:5">
      <c r="A148" s="2">
        <v>143</v>
      </c>
      <c r="B148" s="35">
        <f t="shared" si="8"/>
        <v>596.45850841207766</v>
      </c>
      <c r="C148" s="36">
        <f t="shared" si="9"/>
        <v>245.16964756448411</v>
      </c>
      <c r="D148" s="36">
        <f t="shared" si="10"/>
        <v>351.28886084759358</v>
      </c>
      <c r="E148" s="34">
        <f t="shared" si="11"/>
        <v>44910.799920287936</v>
      </c>
    </row>
    <row r="149" spans="1:5">
      <c r="A149" s="2">
        <v>144</v>
      </c>
      <c r="B149" s="35">
        <f t="shared" si="8"/>
        <v>596.45850841207766</v>
      </c>
      <c r="C149" s="36">
        <f t="shared" si="9"/>
        <v>243.26683290155967</v>
      </c>
      <c r="D149" s="36">
        <f t="shared" si="10"/>
        <v>353.191675510518</v>
      </c>
      <c r="E149" s="34">
        <f t="shared" si="11"/>
        <v>44557.608244777417</v>
      </c>
    </row>
    <row r="150" spans="1:5">
      <c r="A150" s="2">
        <v>145</v>
      </c>
      <c r="B150" s="35">
        <f t="shared" si="8"/>
        <v>596.45850841207766</v>
      </c>
      <c r="C150" s="36">
        <f t="shared" si="9"/>
        <v>241.3537113258777</v>
      </c>
      <c r="D150" s="36">
        <f t="shared" si="10"/>
        <v>355.10479708619994</v>
      </c>
      <c r="E150" s="34">
        <f t="shared" si="11"/>
        <v>44202.503447691219</v>
      </c>
    </row>
    <row r="151" spans="1:5">
      <c r="A151" s="2">
        <v>146</v>
      </c>
      <c r="B151" s="35">
        <f t="shared" si="8"/>
        <v>596.45850841207766</v>
      </c>
      <c r="C151" s="36">
        <f t="shared" si="9"/>
        <v>239.43022700832745</v>
      </c>
      <c r="D151" s="36">
        <f t="shared" si="10"/>
        <v>357.02828140375021</v>
      </c>
      <c r="E151" s="34">
        <f t="shared" si="11"/>
        <v>43845.47516628747</v>
      </c>
    </row>
    <row r="152" spans="1:5">
      <c r="A152" s="2">
        <v>147</v>
      </c>
      <c r="B152" s="35">
        <f t="shared" si="8"/>
        <v>596.45850841207766</v>
      </c>
      <c r="C152" s="36">
        <f t="shared" si="9"/>
        <v>237.49632381739048</v>
      </c>
      <c r="D152" s="36">
        <f t="shared" si="10"/>
        <v>358.96218459468719</v>
      </c>
      <c r="E152" s="34">
        <f t="shared" si="11"/>
        <v>43486.51298169278</v>
      </c>
    </row>
    <row r="153" spans="1:5">
      <c r="A153" s="2">
        <v>148</v>
      </c>
      <c r="B153" s="35">
        <f t="shared" si="8"/>
        <v>596.45850841207766</v>
      </c>
      <c r="C153" s="36">
        <f t="shared" si="9"/>
        <v>235.55194531750257</v>
      </c>
      <c r="D153" s="36">
        <f t="shared" si="10"/>
        <v>360.90656309457506</v>
      </c>
      <c r="E153" s="34">
        <f t="shared" si="11"/>
        <v>43125.606418598203</v>
      </c>
    </row>
    <row r="154" spans="1:5">
      <c r="A154" s="2">
        <v>149</v>
      </c>
      <c r="B154" s="35">
        <f t="shared" si="8"/>
        <v>596.45850841207766</v>
      </c>
      <c r="C154" s="36">
        <f t="shared" si="9"/>
        <v>233.59703476740694</v>
      </c>
      <c r="D154" s="36">
        <f t="shared" si="10"/>
        <v>362.8614736446707</v>
      </c>
      <c r="E154" s="34">
        <f t="shared" si="11"/>
        <v>42762.744944953534</v>
      </c>
    </row>
    <row r="155" spans="1:5">
      <c r="A155" s="2">
        <v>150</v>
      </c>
      <c r="B155" s="35">
        <f t="shared" si="8"/>
        <v>596.45850841207766</v>
      </c>
      <c r="C155" s="36">
        <f t="shared" si="9"/>
        <v>231.63153511849831</v>
      </c>
      <c r="D155" s="36">
        <f t="shared" si="10"/>
        <v>364.82697329357939</v>
      </c>
      <c r="E155" s="34">
        <f t="shared" si="11"/>
        <v>42397.917971659954</v>
      </c>
    </row>
    <row r="156" spans="1:5">
      <c r="A156" s="2">
        <v>151</v>
      </c>
      <c r="B156" s="35">
        <f t="shared" si="8"/>
        <v>596.45850841207766</v>
      </c>
      <c r="C156" s="36">
        <f t="shared" si="9"/>
        <v>229.6553890131581</v>
      </c>
      <c r="D156" s="36">
        <f t="shared" si="10"/>
        <v>366.80311939891953</v>
      </c>
      <c r="E156" s="34">
        <f t="shared" si="11"/>
        <v>42031.114852261031</v>
      </c>
    </row>
    <row r="157" spans="1:5">
      <c r="A157" s="2">
        <v>152</v>
      </c>
      <c r="B157" s="35">
        <f t="shared" si="8"/>
        <v>596.45850841207766</v>
      </c>
      <c r="C157" s="36">
        <f t="shared" si="9"/>
        <v>227.66853878308061</v>
      </c>
      <c r="D157" s="36">
        <f t="shared" si="10"/>
        <v>368.78996962899703</v>
      </c>
      <c r="E157" s="34">
        <f t="shared" si="11"/>
        <v>41662.324882632034</v>
      </c>
    </row>
    <row r="158" spans="1:5">
      <c r="A158" s="2">
        <v>153</v>
      </c>
      <c r="B158" s="35">
        <f t="shared" si="8"/>
        <v>596.45850841207766</v>
      </c>
      <c r="C158" s="36">
        <f t="shared" si="9"/>
        <v>225.6709264475902</v>
      </c>
      <c r="D158" s="36">
        <f t="shared" si="10"/>
        <v>370.78758196448746</v>
      </c>
      <c r="E158" s="34">
        <f t="shared" si="11"/>
        <v>41291.537300667544</v>
      </c>
    </row>
    <row r="159" spans="1:5">
      <c r="A159" s="2">
        <v>154</v>
      </c>
      <c r="B159" s="35">
        <f t="shared" si="8"/>
        <v>596.45850841207766</v>
      </c>
      <c r="C159" s="36">
        <f t="shared" si="9"/>
        <v>223.6624937119492</v>
      </c>
      <c r="D159" s="36">
        <f t="shared" si="10"/>
        <v>372.79601470012847</v>
      </c>
      <c r="E159" s="34">
        <f t="shared" si="11"/>
        <v>40918.741285967415</v>
      </c>
    </row>
    <row r="160" spans="1:5">
      <c r="A160" s="2">
        <v>155</v>
      </c>
      <c r="B160" s="35">
        <f t="shared" si="8"/>
        <v>596.45850841207766</v>
      </c>
      <c r="C160" s="36">
        <f t="shared" si="9"/>
        <v>221.64318196565685</v>
      </c>
      <c r="D160" s="36">
        <f t="shared" si="10"/>
        <v>374.81532644642084</v>
      </c>
      <c r="E160" s="34">
        <f t="shared" si="11"/>
        <v>40543.925959520995</v>
      </c>
    </row>
    <row r="161" spans="1:5">
      <c r="A161" s="2">
        <v>156</v>
      </c>
      <c r="B161" s="35">
        <f t="shared" si="8"/>
        <v>596.45850841207766</v>
      </c>
      <c r="C161" s="36">
        <f t="shared" si="9"/>
        <v>219.61293228073873</v>
      </c>
      <c r="D161" s="36">
        <f t="shared" si="10"/>
        <v>376.84557613133893</v>
      </c>
      <c r="E161" s="34">
        <f t="shared" si="11"/>
        <v>40167.080383389657</v>
      </c>
    </row>
    <row r="162" spans="1:5">
      <c r="A162" s="2">
        <v>157</v>
      </c>
      <c r="B162" s="35">
        <f t="shared" si="8"/>
        <v>596.45850841207766</v>
      </c>
      <c r="C162" s="36">
        <f t="shared" si="9"/>
        <v>217.57168541002733</v>
      </c>
      <c r="D162" s="36">
        <f t="shared" si="10"/>
        <v>378.88682300205033</v>
      </c>
      <c r="E162" s="34">
        <f t="shared" si="11"/>
        <v>39788.193560387605</v>
      </c>
    </row>
    <row r="163" spans="1:5">
      <c r="A163" s="2">
        <v>158</v>
      </c>
      <c r="B163" s="35">
        <f t="shared" si="8"/>
        <v>596.45850841207766</v>
      </c>
      <c r="C163" s="36">
        <f t="shared" si="9"/>
        <v>215.51938178543287</v>
      </c>
      <c r="D163" s="36">
        <f t="shared" si="10"/>
        <v>380.93912662664479</v>
      </c>
      <c r="E163" s="34">
        <f t="shared" si="11"/>
        <v>39407.254433760958</v>
      </c>
    </row>
    <row r="164" spans="1:5">
      <c r="A164" s="2">
        <v>159</v>
      </c>
      <c r="B164" s="35">
        <f t="shared" si="8"/>
        <v>596.45850841207766</v>
      </c>
      <c r="C164" s="36">
        <f t="shared" si="9"/>
        <v>213.45596151620521</v>
      </c>
      <c r="D164" s="36">
        <f t="shared" si="10"/>
        <v>383.00254689587246</v>
      </c>
      <c r="E164" s="34">
        <f t="shared" si="11"/>
        <v>39024.251886865088</v>
      </c>
    </row>
    <row r="165" spans="1:5">
      <c r="A165" s="2">
        <v>160</v>
      </c>
      <c r="B165" s="35">
        <f t="shared" si="8"/>
        <v>596.45850841207766</v>
      </c>
      <c r="C165" s="36">
        <f t="shared" si="9"/>
        <v>211.3813643871859</v>
      </c>
      <c r="D165" s="36">
        <f t="shared" si="10"/>
        <v>385.07714402489177</v>
      </c>
      <c r="E165" s="34">
        <f t="shared" si="11"/>
        <v>38639.174742840194</v>
      </c>
    </row>
    <row r="166" spans="1:5">
      <c r="A166" s="2">
        <v>161</v>
      </c>
      <c r="B166" s="35">
        <f t="shared" si="8"/>
        <v>596.45850841207766</v>
      </c>
      <c r="C166" s="36">
        <f t="shared" si="9"/>
        <v>209.29552985705106</v>
      </c>
      <c r="D166" s="36">
        <f t="shared" si="10"/>
        <v>387.1629785550266</v>
      </c>
      <c r="E166" s="34">
        <f t="shared" si="11"/>
        <v>38252.011764285169</v>
      </c>
    </row>
    <row r="167" spans="1:5">
      <c r="A167" s="2">
        <v>162</v>
      </c>
      <c r="B167" s="35">
        <f t="shared" si="8"/>
        <v>596.45850841207766</v>
      </c>
      <c r="C167" s="36">
        <f t="shared" si="9"/>
        <v>207.19839705654468</v>
      </c>
      <c r="D167" s="36">
        <f t="shared" si="10"/>
        <v>389.26011135553301</v>
      </c>
      <c r="E167" s="34">
        <f t="shared" si="11"/>
        <v>37862.751652929634</v>
      </c>
    </row>
    <row r="168" spans="1:5">
      <c r="A168" s="2">
        <v>163</v>
      </c>
      <c r="B168" s="35">
        <f t="shared" si="8"/>
        <v>596.45850841207766</v>
      </c>
      <c r="C168" s="36">
        <f t="shared" si="9"/>
        <v>205.08990478670219</v>
      </c>
      <c r="D168" s="36">
        <f t="shared" si="10"/>
        <v>391.3686036253755</v>
      </c>
      <c r="E168" s="34">
        <f t="shared" si="11"/>
        <v>37471.383049304255</v>
      </c>
    </row>
    <row r="169" spans="1:5">
      <c r="A169" s="2">
        <v>164</v>
      </c>
      <c r="B169" s="35">
        <f t="shared" si="8"/>
        <v>596.45850841207766</v>
      </c>
      <c r="C169" s="36">
        <f t="shared" si="9"/>
        <v>202.96999151706473</v>
      </c>
      <c r="D169" s="36">
        <f t="shared" si="10"/>
        <v>393.48851689501294</v>
      </c>
      <c r="E169" s="34">
        <f t="shared" si="11"/>
        <v>37077.894532409242</v>
      </c>
    </row>
    <row r="170" spans="1:5">
      <c r="A170" s="2">
        <v>165</v>
      </c>
      <c r="B170" s="35">
        <f t="shared" si="8"/>
        <v>596.45850841207766</v>
      </c>
      <c r="C170" s="36">
        <f t="shared" si="9"/>
        <v>200.83859538388339</v>
      </c>
      <c r="D170" s="36">
        <f t="shared" si="10"/>
        <v>395.61991302819428</v>
      </c>
      <c r="E170" s="34">
        <f t="shared" si="11"/>
        <v>36682.274619381045</v>
      </c>
    </row>
    <row r="171" spans="1:5">
      <c r="A171" s="2">
        <v>166</v>
      </c>
      <c r="B171" s="35">
        <f t="shared" si="8"/>
        <v>596.45850841207766</v>
      </c>
      <c r="C171" s="36">
        <f t="shared" si="9"/>
        <v>198.69565418831399</v>
      </c>
      <c r="D171" s="36">
        <f t="shared" si="10"/>
        <v>397.76285422376367</v>
      </c>
      <c r="E171" s="34">
        <f t="shared" si="11"/>
        <v>36284.51176515728</v>
      </c>
    </row>
    <row r="172" spans="1:5">
      <c r="A172" s="2">
        <v>167</v>
      </c>
      <c r="B172" s="35">
        <f t="shared" si="8"/>
        <v>596.45850841207766</v>
      </c>
      <c r="C172" s="36">
        <f t="shared" si="9"/>
        <v>196.54110539460194</v>
      </c>
      <c r="D172" s="36">
        <f t="shared" si="10"/>
        <v>399.91740301747575</v>
      </c>
      <c r="E172" s="34">
        <f t="shared" si="11"/>
        <v>35884.594362139804</v>
      </c>
    </row>
    <row r="173" spans="1:5">
      <c r="A173" s="2">
        <v>168</v>
      </c>
      <c r="B173" s="35">
        <f t="shared" si="8"/>
        <v>596.45850841207766</v>
      </c>
      <c r="C173" s="36">
        <f t="shared" si="9"/>
        <v>194.37488612825729</v>
      </c>
      <c r="D173" s="36">
        <f t="shared" si="10"/>
        <v>402.08362228382038</v>
      </c>
      <c r="E173" s="34">
        <f t="shared" si="11"/>
        <v>35482.510739855985</v>
      </c>
    </row>
    <row r="174" spans="1:5">
      <c r="A174" s="2">
        <v>169</v>
      </c>
      <c r="B174" s="35">
        <f t="shared" si="8"/>
        <v>596.45850841207766</v>
      </c>
      <c r="C174" s="36">
        <f t="shared" si="9"/>
        <v>192.19693317421994</v>
      </c>
      <c r="D174" s="36">
        <f t="shared" si="10"/>
        <v>404.26157523785776</v>
      </c>
      <c r="E174" s="34">
        <f t="shared" si="11"/>
        <v>35078.24916461813</v>
      </c>
    </row>
    <row r="175" spans="1:5">
      <c r="A175" s="2">
        <v>170</v>
      </c>
      <c r="B175" s="35">
        <f t="shared" si="8"/>
        <v>596.45850841207766</v>
      </c>
      <c r="C175" s="36">
        <f t="shared" si="9"/>
        <v>190.00718297501487</v>
      </c>
      <c r="D175" s="36">
        <f t="shared" si="10"/>
        <v>406.45132543706279</v>
      </c>
      <c r="E175" s="34">
        <f t="shared" si="11"/>
        <v>34671.797839181068</v>
      </c>
    </row>
    <row r="176" spans="1:5">
      <c r="A176" s="2">
        <v>171</v>
      </c>
      <c r="B176" s="35">
        <f t="shared" si="8"/>
        <v>596.45850841207766</v>
      </c>
      <c r="C176" s="36">
        <f t="shared" si="9"/>
        <v>187.80557162889747</v>
      </c>
      <c r="D176" s="36">
        <f t="shared" si="10"/>
        <v>408.65293678318017</v>
      </c>
      <c r="E176" s="34">
        <f t="shared" si="11"/>
        <v>34263.144902397886</v>
      </c>
    </row>
    <row r="177" spans="1:5">
      <c r="A177" s="2">
        <v>172</v>
      </c>
      <c r="B177" s="35">
        <f t="shared" si="8"/>
        <v>596.45850841207766</v>
      </c>
      <c r="C177" s="36">
        <f t="shared" si="9"/>
        <v>185.59203488798855</v>
      </c>
      <c r="D177" s="36">
        <f t="shared" si="10"/>
        <v>410.86647352408909</v>
      </c>
      <c r="E177" s="34">
        <f t="shared" si="11"/>
        <v>33852.278428873797</v>
      </c>
    </row>
    <row r="178" spans="1:5">
      <c r="A178" s="2">
        <v>173</v>
      </c>
      <c r="B178" s="35">
        <f t="shared" si="8"/>
        <v>596.45850841207766</v>
      </c>
      <c r="C178" s="36">
        <f t="shared" si="9"/>
        <v>183.36650815639973</v>
      </c>
      <c r="D178" s="36">
        <f t="shared" si="10"/>
        <v>413.09200025567793</v>
      </c>
      <c r="E178" s="34">
        <f t="shared" si="11"/>
        <v>33439.186428618115</v>
      </c>
    </row>
    <row r="179" spans="1:5">
      <c r="A179" s="2">
        <v>174</v>
      </c>
      <c r="B179" s="35">
        <f t="shared" si="8"/>
        <v>596.45850841207766</v>
      </c>
      <c r="C179" s="36">
        <f t="shared" si="9"/>
        <v>181.12892648834813</v>
      </c>
      <c r="D179" s="36">
        <f t="shared" si="10"/>
        <v>415.32958192372951</v>
      </c>
      <c r="E179" s="34">
        <f t="shared" si="11"/>
        <v>33023.856846694383</v>
      </c>
    </row>
    <row r="180" spans="1:5">
      <c r="A180" s="2">
        <v>175</v>
      </c>
      <c r="B180" s="35">
        <f t="shared" si="8"/>
        <v>596.45850841207766</v>
      </c>
      <c r="C180" s="36">
        <f t="shared" si="9"/>
        <v>178.87922458626124</v>
      </c>
      <c r="D180" s="36">
        <f t="shared" si="10"/>
        <v>417.57928382581645</v>
      </c>
      <c r="E180" s="34">
        <f t="shared" si="11"/>
        <v>32606.277562868567</v>
      </c>
    </row>
    <row r="181" spans="1:5">
      <c r="A181" s="2">
        <v>176</v>
      </c>
      <c r="B181" s="35">
        <f t="shared" si="8"/>
        <v>596.45850841207766</v>
      </c>
      <c r="C181" s="36">
        <f t="shared" si="9"/>
        <v>176.61733679887141</v>
      </c>
      <c r="D181" s="36">
        <f t="shared" si="10"/>
        <v>419.84117161320626</v>
      </c>
      <c r="E181" s="34">
        <f t="shared" si="11"/>
        <v>32186.43639125536</v>
      </c>
    </row>
    <row r="182" spans="1:5">
      <c r="A182" s="2">
        <v>177</v>
      </c>
      <c r="B182" s="35">
        <f t="shared" si="8"/>
        <v>596.45850841207766</v>
      </c>
      <c r="C182" s="36">
        <f t="shared" si="9"/>
        <v>174.34319711929987</v>
      </c>
      <c r="D182" s="36">
        <f t="shared" si="10"/>
        <v>422.11531129277779</v>
      </c>
      <c r="E182" s="34">
        <f t="shared" si="11"/>
        <v>31764.321079962581</v>
      </c>
    </row>
    <row r="183" spans="1:5">
      <c r="A183" s="2">
        <v>178</v>
      </c>
      <c r="B183" s="35">
        <f t="shared" si="8"/>
        <v>596.45850841207766</v>
      </c>
      <c r="C183" s="36">
        <f t="shared" si="9"/>
        <v>172.05673918313065</v>
      </c>
      <c r="D183" s="36">
        <f t="shared" si="10"/>
        <v>424.40176922894705</v>
      </c>
      <c r="E183" s="34">
        <f t="shared" si="11"/>
        <v>31339.919310733636</v>
      </c>
    </row>
    <row r="184" spans="1:5">
      <c r="A184" s="2">
        <v>179</v>
      </c>
      <c r="B184" s="35">
        <f t="shared" si="8"/>
        <v>596.45850841207766</v>
      </c>
      <c r="C184" s="36">
        <f t="shared" si="9"/>
        <v>169.75789626647386</v>
      </c>
      <c r="D184" s="36">
        <f t="shared" si="10"/>
        <v>426.70061214560383</v>
      </c>
      <c r="E184" s="34">
        <f t="shared" si="11"/>
        <v>30913.218698588033</v>
      </c>
    </row>
    <row r="185" spans="1:5">
      <c r="A185" s="2">
        <v>180</v>
      </c>
      <c r="B185" s="35">
        <f t="shared" si="8"/>
        <v>596.45850841207766</v>
      </c>
      <c r="C185" s="36">
        <f t="shared" si="9"/>
        <v>167.44660128401853</v>
      </c>
      <c r="D185" s="36">
        <f t="shared" si="10"/>
        <v>429.01190712805914</v>
      </c>
      <c r="E185" s="34">
        <f t="shared" si="11"/>
        <v>30484.206791459972</v>
      </c>
    </row>
    <row r="186" spans="1:5">
      <c r="A186" s="2">
        <v>181</v>
      </c>
      <c r="B186" s="35">
        <f t="shared" si="8"/>
        <v>596.45850841207766</v>
      </c>
      <c r="C186" s="36">
        <f t="shared" si="9"/>
        <v>165.12278678707486</v>
      </c>
      <c r="D186" s="36">
        <f t="shared" si="10"/>
        <v>431.3357216250028</v>
      </c>
      <c r="E186" s="34">
        <f t="shared" si="11"/>
        <v>30052.871069834968</v>
      </c>
    </row>
    <row r="187" spans="1:5">
      <c r="A187" s="2">
        <v>182</v>
      </c>
      <c r="B187" s="35">
        <f t="shared" si="8"/>
        <v>596.45850841207766</v>
      </c>
      <c r="C187" s="36">
        <f t="shared" si="9"/>
        <v>162.78638496160607</v>
      </c>
      <c r="D187" s="36">
        <f t="shared" si="10"/>
        <v>433.67212345047159</v>
      </c>
      <c r="E187" s="34">
        <f t="shared" si="11"/>
        <v>29619.198946384495</v>
      </c>
    </row>
    <row r="188" spans="1:5">
      <c r="A188" s="2">
        <v>183</v>
      </c>
      <c r="B188" s="35">
        <f t="shared" si="8"/>
        <v>596.45850841207766</v>
      </c>
      <c r="C188" s="36">
        <f t="shared" si="9"/>
        <v>160.43732762624936</v>
      </c>
      <c r="D188" s="36">
        <f t="shared" si="10"/>
        <v>436.02118078582828</v>
      </c>
      <c r="E188" s="34">
        <f t="shared" si="11"/>
        <v>29183.177765598666</v>
      </c>
    </row>
    <row r="189" spans="1:5">
      <c r="A189" s="2">
        <v>184</v>
      </c>
      <c r="B189" s="35">
        <f t="shared" si="8"/>
        <v>596.45850841207766</v>
      </c>
      <c r="C189" s="36">
        <f t="shared" si="9"/>
        <v>158.07554623032613</v>
      </c>
      <c r="D189" s="36">
        <f t="shared" si="10"/>
        <v>438.38296218175151</v>
      </c>
      <c r="E189" s="34">
        <f t="shared" si="11"/>
        <v>28744.794803416913</v>
      </c>
    </row>
    <row r="190" spans="1:5">
      <c r="A190" s="2">
        <v>185</v>
      </c>
      <c r="B190" s="35">
        <f t="shared" si="8"/>
        <v>596.45850841207766</v>
      </c>
      <c r="C190" s="36">
        <f t="shared" si="9"/>
        <v>155.70097185184162</v>
      </c>
      <c r="D190" s="36">
        <f t="shared" si="10"/>
        <v>440.75753656023608</v>
      </c>
      <c r="E190" s="34">
        <f t="shared" si="11"/>
        <v>28304.037266856678</v>
      </c>
    </row>
    <row r="191" spans="1:5">
      <c r="A191" s="2">
        <v>186</v>
      </c>
      <c r="B191" s="35">
        <f t="shared" si="8"/>
        <v>596.45850841207766</v>
      </c>
      <c r="C191" s="36">
        <f t="shared" si="9"/>
        <v>153.31353519547369</v>
      </c>
      <c r="D191" s="36">
        <f t="shared" si="10"/>
        <v>443.14497321660394</v>
      </c>
      <c r="E191" s="34">
        <f t="shared" si="11"/>
        <v>27860.892293640074</v>
      </c>
    </row>
    <row r="192" spans="1:5">
      <c r="A192" s="2">
        <v>187</v>
      </c>
      <c r="B192" s="35">
        <f t="shared" si="8"/>
        <v>596.45850841207766</v>
      </c>
      <c r="C192" s="36">
        <f t="shared" si="9"/>
        <v>150.91316659055042</v>
      </c>
      <c r="D192" s="36">
        <f t="shared" si="10"/>
        <v>445.54534182152724</v>
      </c>
      <c r="E192" s="34">
        <f t="shared" si="11"/>
        <v>27415.346951818548</v>
      </c>
    </row>
    <row r="193" spans="1:5">
      <c r="A193" s="2">
        <v>188</v>
      </c>
      <c r="B193" s="35">
        <f t="shared" si="8"/>
        <v>596.45850841207766</v>
      </c>
      <c r="C193" s="36">
        <f t="shared" si="9"/>
        <v>148.49979598901714</v>
      </c>
      <c r="D193" s="36">
        <f t="shared" si="10"/>
        <v>447.95871242306055</v>
      </c>
      <c r="E193" s="34">
        <f t="shared" si="11"/>
        <v>26967.388239395488</v>
      </c>
    </row>
    <row r="194" spans="1:5">
      <c r="A194" s="2">
        <v>189</v>
      </c>
      <c r="B194" s="35">
        <f t="shared" si="8"/>
        <v>596.45850841207766</v>
      </c>
      <c r="C194" s="36">
        <f t="shared" si="9"/>
        <v>146.07335296339224</v>
      </c>
      <c r="D194" s="36">
        <f t="shared" si="10"/>
        <v>450.3851554486854</v>
      </c>
      <c r="E194" s="34">
        <f t="shared" si="11"/>
        <v>26517.003083946802</v>
      </c>
    </row>
    <row r="195" spans="1:5">
      <c r="A195" s="2">
        <v>190</v>
      </c>
      <c r="B195" s="35">
        <f t="shared" si="8"/>
        <v>596.45850841207766</v>
      </c>
      <c r="C195" s="36">
        <f t="shared" si="9"/>
        <v>143.63376670471186</v>
      </c>
      <c r="D195" s="36">
        <f t="shared" si="10"/>
        <v>452.82474170736577</v>
      </c>
      <c r="E195" s="34">
        <f t="shared" si="11"/>
        <v>26064.178342239436</v>
      </c>
    </row>
    <row r="196" spans="1:5">
      <c r="A196" s="2">
        <v>191</v>
      </c>
      <c r="B196" s="35">
        <f t="shared" si="8"/>
        <v>596.45850841207766</v>
      </c>
      <c r="C196" s="36">
        <f t="shared" si="9"/>
        <v>141.18096602046361</v>
      </c>
      <c r="D196" s="36">
        <f t="shared" si="10"/>
        <v>455.27754239161402</v>
      </c>
      <c r="E196" s="34">
        <f t="shared" si="11"/>
        <v>25608.900799847823</v>
      </c>
    </row>
    <row r="197" spans="1:5">
      <c r="A197" s="2">
        <v>192</v>
      </c>
      <c r="B197" s="35">
        <f t="shared" si="8"/>
        <v>596.45850841207766</v>
      </c>
      <c r="C197" s="36">
        <f t="shared" si="9"/>
        <v>138.71487933250904</v>
      </c>
      <c r="D197" s="36">
        <f t="shared" si="10"/>
        <v>457.74362907956862</v>
      </c>
      <c r="E197" s="34">
        <f t="shared" si="11"/>
        <v>25151.157170768252</v>
      </c>
    </row>
    <row r="198" spans="1:5">
      <c r="A198" s="2">
        <v>193</v>
      </c>
      <c r="B198" s="35">
        <f t="shared" si="8"/>
        <v>596.45850841207766</v>
      </c>
      <c r="C198" s="36">
        <f t="shared" si="9"/>
        <v>136.23543467499471</v>
      </c>
      <c r="D198" s="36">
        <f t="shared" si="10"/>
        <v>460.22307373708293</v>
      </c>
      <c r="E198" s="34">
        <f t="shared" si="11"/>
        <v>24690.934097031168</v>
      </c>
    </row>
    <row r="199" spans="1:5">
      <c r="A199" s="2">
        <v>194</v>
      </c>
      <c r="B199" s="35">
        <f t="shared" ref="B199:B245" si="12">$H$10*-1</f>
        <v>596.45850841207766</v>
      </c>
      <c r="C199" s="36">
        <f t="shared" ref="C199:C245" si="13">(($H$9/12)*E198)</f>
        <v>133.74255969225217</v>
      </c>
      <c r="D199" s="36">
        <f t="shared" ref="D199:D245" si="14">B199-C199</f>
        <v>462.71594871982552</v>
      </c>
      <c r="E199" s="34">
        <f t="shared" ref="E199:E245" si="15">E198-D199</f>
        <v>24228.218148311342</v>
      </c>
    </row>
    <row r="200" spans="1:5">
      <c r="A200" s="2">
        <v>195</v>
      </c>
      <c r="B200" s="35">
        <f t="shared" si="12"/>
        <v>596.45850841207766</v>
      </c>
      <c r="C200" s="36">
        <f t="shared" si="13"/>
        <v>131.23618163668644</v>
      </c>
      <c r="D200" s="36">
        <f t="shared" si="14"/>
        <v>465.22232677539125</v>
      </c>
      <c r="E200" s="34">
        <f t="shared" si="15"/>
        <v>23762.995821535951</v>
      </c>
    </row>
    <row r="201" spans="1:5">
      <c r="A201" s="2">
        <v>196</v>
      </c>
      <c r="B201" s="35">
        <f t="shared" si="12"/>
        <v>596.45850841207766</v>
      </c>
      <c r="C201" s="36">
        <f t="shared" si="13"/>
        <v>128.71622736665307</v>
      </c>
      <c r="D201" s="36">
        <f t="shared" si="14"/>
        <v>467.74228104542459</v>
      </c>
      <c r="E201" s="34">
        <f t="shared" si="15"/>
        <v>23295.253540490525</v>
      </c>
    </row>
    <row r="202" spans="1:5">
      <c r="A202" s="2">
        <v>197</v>
      </c>
      <c r="B202" s="35">
        <f t="shared" si="12"/>
        <v>596.45850841207766</v>
      </c>
      <c r="C202" s="36">
        <f t="shared" si="13"/>
        <v>126.18262334432367</v>
      </c>
      <c r="D202" s="36">
        <f t="shared" si="14"/>
        <v>470.27588506775396</v>
      </c>
      <c r="E202" s="34">
        <f t="shared" si="15"/>
        <v>22824.977655422772</v>
      </c>
    </row>
    <row r="203" spans="1:5">
      <c r="A203" s="2">
        <v>198</v>
      </c>
      <c r="B203" s="35">
        <f t="shared" si="12"/>
        <v>596.45850841207766</v>
      </c>
      <c r="C203" s="36">
        <f t="shared" si="13"/>
        <v>123.63529563354003</v>
      </c>
      <c r="D203" s="36">
        <f t="shared" si="14"/>
        <v>472.82321277853765</v>
      </c>
      <c r="E203" s="34">
        <f t="shared" si="15"/>
        <v>22352.154442644234</v>
      </c>
    </row>
    <row r="204" spans="1:5">
      <c r="A204" s="2">
        <v>199</v>
      </c>
      <c r="B204" s="35">
        <f t="shared" si="12"/>
        <v>596.45850841207766</v>
      </c>
      <c r="C204" s="36">
        <f t="shared" si="13"/>
        <v>121.07416989765628</v>
      </c>
      <c r="D204" s="36">
        <f t="shared" si="14"/>
        <v>475.38433851442142</v>
      </c>
      <c r="E204" s="34">
        <f t="shared" si="15"/>
        <v>21876.770104129813</v>
      </c>
    </row>
    <row r="205" spans="1:5">
      <c r="A205" s="2">
        <v>200</v>
      </c>
      <c r="B205" s="35">
        <f t="shared" si="12"/>
        <v>596.45850841207766</v>
      </c>
      <c r="C205" s="36">
        <f t="shared" si="13"/>
        <v>118.49917139736982</v>
      </c>
      <c r="D205" s="36">
        <f t="shared" si="14"/>
        <v>477.95933701470784</v>
      </c>
      <c r="E205" s="34">
        <f t="shared" si="15"/>
        <v>21398.810767115105</v>
      </c>
    </row>
    <row r="206" spans="1:5">
      <c r="A206" s="2">
        <v>201</v>
      </c>
      <c r="B206" s="35">
        <f t="shared" si="12"/>
        <v>596.45850841207766</v>
      </c>
      <c r="C206" s="36">
        <f t="shared" si="13"/>
        <v>115.91022498854015</v>
      </c>
      <c r="D206" s="36">
        <f t="shared" si="14"/>
        <v>480.5482834235375</v>
      </c>
      <c r="E206" s="34">
        <f t="shared" si="15"/>
        <v>20918.262483691567</v>
      </c>
    </row>
    <row r="207" spans="1:5">
      <c r="A207" s="2">
        <v>202</v>
      </c>
      <c r="B207" s="35">
        <f t="shared" si="12"/>
        <v>596.45850841207766</v>
      </c>
      <c r="C207" s="36">
        <f t="shared" si="13"/>
        <v>113.307255119996</v>
      </c>
      <c r="D207" s="36">
        <f t="shared" si="14"/>
        <v>483.15125329208166</v>
      </c>
      <c r="E207" s="34">
        <f t="shared" si="15"/>
        <v>20435.111230399485</v>
      </c>
    </row>
    <row r="208" spans="1:5">
      <c r="A208" s="2">
        <v>203</v>
      </c>
      <c r="B208" s="35">
        <f t="shared" si="12"/>
        <v>596.45850841207766</v>
      </c>
      <c r="C208" s="36">
        <f t="shared" si="13"/>
        <v>110.69018583133055</v>
      </c>
      <c r="D208" s="36">
        <f t="shared" si="14"/>
        <v>485.76832258074711</v>
      </c>
      <c r="E208" s="34">
        <f t="shared" si="15"/>
        <v>19949.342907818736</v>
      </c>
    </row>
    <row r="209" spans="1:5">
      <c r="A209" s="2">
        <v>204</v>
      </c>
      <c r="B209" s="35">
        <f t="shared" si="12"/>
        <v>596.45850841207766</v>
      </c>
      <c r="C209" s="36">
        <f t="shared" si="13"/>
        <v>108.05894075068483</v>
      </c>
      <c r="D209" s="36">
        <f t="shared" si="14"/>
        <v>488.39956766139284</v>
      </c>
      <c r="E209" s="34">
        <f t="shared" si="15"/>
        <v>19460.943340157344</v>
      </c>
    </row>
    <row r="210" spans="1:5">
      <c r="A210" s="2">
        <v>205</v>
      </c>
      <c r="B210" s="35">
        <f t="shared" si="12"/>
        <v>596.45850841207766</v>
      </c>
      <c r="C210" s="36">
        <f t="shared" si="13"/>
        <v>105.41344309251895</v>
      </c>
      <c r="D210" s="36">
        <f t="shared" si="14"/>
        <v>491.04506531955872</v>
      </c>
      <c r="E210" s="34">
        <f t="shared" si="15"/>
        <v>18969.898274837786</v>
      </c>
    </row>
    <row r="211" spans="1:5">
      <c r="A211" s="2">
        <v>206</v>
      </c>
      <c r="B211" s="35">
        <f t="shared" si="12"/>
        <v>596.45850841207766</v>
      </c>
      <c r="C211" s="36">
        <f t="shared" si="13"/>
        <v>102.75361565537135</v>
      </c>
      <c r="D211" s="36">
        <f t="shared" si="14"/>
        <v>493.70489275670633</v>
      </c>
      <c r="E211" s="34">
        <f t="shared" si="15"/>
        <v>18476.193382081081</v>
      </c>
    </row>
    <row r="212" spans="1:5">
      <c r="A212" s="2">
        <v>207</v>
      </c>
      <c r="B212" s="35">
        <f t="shared" si="12"/>
        <v>596.45850841207766</v>
      </c>
      <c r="C212" s="36">
        <f t="shared" si="13"/>
        <v>100.07938081960586</v>
      </c>
      <c r="D212" s="36">
        <f t="shared" si="14"/>
        <v>496.37912759247183</v>
      </c>
      <c r="E212" s="34">
        <f t="shared" si="15"/>
        <v>17979.81425448861</v>
      </c>
    </row>
    <row r="213" spans="1:5">
      <c r="A213" s="2">
        <v>208</v>
      </c>
      <c r="B213" s="35">
        <f t="shared" si="12"/>
        <v>596.45850841207766</v>
      </c>
      <c r="C213" s="36">
        <f t="shared" si="13"/>
        <v>97.390660545146645</v>
      </c>
      <c r="D213" s="36">
        <f t="shared" si="14"/>
        <v>499.067847866931</v>
      </c>
      <c r="E213" s="34">
        <f t="shared" si="15"/>
        <v>17480.746406621678</v>
      </c>
    </row>
    <row r="214" spans="1:5">
      <c r="A214" s="2">
        <v>209</v>
      </c>
      <c r="B214" s="35">
        <f t="shared" si="12"/>
        <v>596.45850841207766</v>
      </c>
      <c r="C214" s="36">
        <f t="shared" si="13"/>
        <v>94.687376369200763</v>
      </c>
      <c r="D214" s="36">
        <f t="shared" si="14"/>
        <v>501.7711320428769</v>
      </c>
      <c r="E214" s="34">
        <f t="shared" si="15"/>
        <v>16978.975274578803</v>
      </c>
    </row>
    <row r="215" spans="1:5">
      <c r="A215" s="2">
        <v>210</v>
      </c>
      <c r="B215" s="35">
        <f t="shared" si="12"/>
        <v>596.45850841207766</v>
      </c>
      <c r="C215" s="36">
        <f t="shared" si="13"/>
        <v>91.969449403968525</v>
      </c>
      <c r="D215" s="36">
        <f t="shared" si="14"/>
        <v>504.48905900810917</v>
      </c>
      <c r="E215" s="34">
        <f t="shared" si="15"/>
        <v>16474.486215570694</v>
      </c>
    </row>
    <row r="216" spans="1:5">
      <c r="A216" s="2">
        <v>211</v>
      </c>
      <c r="B216" s="35">
        <f t="shared" si="12"/>
        <v>596.45850841207766</v>
      </c>
      <c r="C216" s="36">
        <f t="shared" si="13"/>
        <v>89.236800334341268</v>
      </c>
      <c r="D216" s="36">
        <f t="shared" si="14"/>
        <v>507.22170807773637</v>
      </c>
      <c r="E216" s="34">
        <f t="shared" si="15"/>
        <v>15967.264507492957</v>
      </c>
    </row>
    <row r="217" spans="1:5">
      <c r="A217" s="2">
        <v>212</v>
      </c>
      <c r="B217" s="35">
        <f t="shared" si="12"/>
        <v>596.45850841207766</v>
      </c>
      <c r="C217" s="36">
        <f t="shared" si="13"/>
        <v>86.489349415586858</v>
      </c>
      <c r="D217" s="36">
        <f t="shared" si="14"/>
        <v>509.96915899649082</v>
      </c>
      <c r="E217" s="34">
        <f t="shared" si="15"/>
        <v>15457.295348496466</v>
      </c>
    </row>
    <row r="218" spans="1:5">
      <c r="A218" s="2">
        <v>213</v>
      </c>
      <c r="B218" s="35">
        <f t="shared" si="12"/>
        <v>596.45850841207766</v>
      </c>
      <c r="C218" s="36">
        <f t="shared" si="13"/>
        <v>83.727016471022523</v>
      </c>
      <c r="D218" s="36">
        <f t="shared" si="14"/>
        <v>512.73149194105508</v>
      </c>
      <c r="E218" s="34">
        <f t="shared" si="15"/>
        <v>14944.563856555411</v>
      </c>
    </row>
    <row r="219" spans="1:5">
      <c r="A219" s="2">
        <v>214</v>
      </c>
      <c r="B219" s="35">
        <f t="shared" si="12"/>
        <v>596.45850841207766</v>
      </c>
      <c r="C219" s="36">
        <f t="shared" si="13"/>
        <v>80.949720889675149</v>
      </c>
      <c r="D219" s="36">
        <f t="shared" si="14"/>
        <v>515.50878752240249</v>
      </c>
      <c r="E219" s="34">
        <f t="shared" si="15"/>
        <v>14429.055069033009</v>
      </c>
    </row>
    <row r="220" spans="1:5">
      <c r="A220" s="2">
        <v>215</v>
      </c>
      <c r="B220" s="35">
        <f t="shared" si="12"/>
        <v>596.45850841207766</v>
      </c>
      <c r="C220" s="36">
        <f t="shared" si="13"/>
        <v>78.157381623928799</v>
      </c>
      <c r="D220" s="36">
        <f t="shared" si="14"/>
        <v>518.30112678814885</v>
      </c>
      <c r="E220" s="34">
        <f t="shared" si="15"/>
        <v>13910.753942244861</v>
      </c>
    </row>
    <row r="221" spans="1:5">
      <c r="A221" s="2">
        <v>216</v>
      </c>
      <c r="B221" s="35">
        <f t="shared" si="12"/>
        <v>596.45850841207766</v>
      </c>
      <c r="C221" s="36">
        <f t="shared" si="13"/>
        <v>75.349917187159662</v>
      </c>
      <c r="D221" s="36">
        <f t="shared" si="14"/>
        <v>521.10859122491797</v>
      </c>
      <c r="E221" s="34">
        <f t="shared" si="15"/>
        <v>13389.645351019943</v>
      </c>
    </row>
    <row r="222" spans="1:5">
      <c r="A222" s="2">
        <v>217</v>
      </c>
      <c r="B222" s="35">
        <f t="shared" si="12"/>
        <v>596.45850841207766</v>
      </c>
      <c r="C222" s="36">
        <f t="shared" si="13"/>
        <v>72.527245651358029</v>
      </c>
      <c r="D222" s="36">
        <f t="shared" si="14"/>
        <v>523.93126276071962</v>
      </c>
      <c r="E222" s="34">
        <f t="shared" si="15"/>
        <v>12865.714088259223</v>
      </c>
    </row>
    <row r="223" spans="1:5">
      <c r="A223" s="2">
        <v>218</v>
      </c>
      <c r="B223" s="35">
        <f t="shared" si="12"/>
        <v>596.45850841207766</v>
      </c>
      <c r="C223" s="36">
        <f t="shared" si="13"/>
        <v>69.689284644737455</v>
      </c>
      <c r="D223" s="36">
        <f t="shared" si="14"/>
        <v>526.76922376734024</v>
      </c>
      <c r="E223" s="34">
        <f t="shared" si="15"/>
        <v>12338.944864491883</v>
      </c>
    </row>
    <row r="224" spans="1:5">
      <c r="A224" s="2">
        <v>219</v>
      </c>
      <c r="B224" s="35">
        <f t="shared" si="12"/>
        <v>596.45850841207766</v>
      </c>
      <c r="C224" s="36">
        <f t="shared" si="13"/>
        <v>66.83595134933104</v>
      </c>
      <c r="D224" s="36">
        <f t="shared" si="14"/>
        <v>529.62255706274664</v>
      </c>
      <c r="E224" s="34">
        <f t="shared" si="15"/>
        <v>11809.322307429136</v>
      </c>
    </row>
    <row r="225" spans="1:5">
      <c r="A225" s="2">
        <v>220</v>
      </c>
      <c r="B225" s="35">
        <f t="shared" si="12"/>
        <v>596.45850841207766</v>
      </c>
      <c r="C225" s="36">
        <f t="shared" si="13"/>
        <v>63.967162498574488</v>
      </c>
      <c r="D225" s="36">
        <f t="shared" si="14"/>
        <v>532.49134591350321</v>
      </c>
      <c r="E225" s="34">
        <f t="shared" si="15"/>
        <v>11276.830961515632</v>
      </c>
    </row>
    <row r="226" spans="1:5">
      <c r="A226" s="2">
        <v>221</v>
      </c>
      <c r="B226" s="35">
        <f t="shared" si="12"/>
        <v>596.45850841207766</v>
      </c>
      <c r="C226" s="36">
        <f t="shared" si="13"/>
        <v>61.082834374876342</v>
      </c>
      <c r="D226" s="36">
        <f t="shared" si="14"/>
        <v>535.37567403720129</v>
      </c>
      <c r="E226" s="34">
        <f t="shared" si="15"/>
        <v>10741.455287478431</v>
      </c>
    </row>
    <row r="227" spans="1:5">
      <c r="A227" s="2">
        <v>222</v>
      </c>
      <c r="B227" s="35">
        <f t="shared" si="12"/>
        <v>596.45850841207766</v>
      </c>
      <c r="C227" s="36">
        <f t="shared" si="13"/>
        <v>58.182882807174835</v>
      </c>
      <c r="D227" s="36">
        <f t="shared" si="14"/>
        <v>538.27562560490287</v>
      </c>
      <c r="E227" s="34">
        <f t="shared" si="15"/>
        <v>10203.179661873528</v>
      </c>
    </row>
    <row r="228" spans="1:5">
      <c r="A228" s="2">
        <v>223</v>
      </c>
      <c r="B228" s="35">
        <f t="shared" si="12"/>
        <v>596.45850841207766</v>
      </c>
      <c r="C228" s="36">
        <f t="shared" si="13"/>
        <v>55.267223168481614</v>
      </c>
      <c r="D228" s="36">
        <f t="shared" si="14"/>
        <v>541.1912852435961</v>
      </c>
      <c r="E228" s="34">
        <f t="shared" si="15"/>
        <v>9661.9883766299317</v>
      </c>
    </row>
    <row r="229" spans="1:5">
      <c r="A229" s="2">
        <v>224</v>
      </c>
      <c r="B229" s="35">
        <f t="shared" si="12"/>
        <v>596.45850841207766</v>
      </c>
      <c r="C229" s="36">
        <f t="shared" si="13"/>
        <v>52.335770373412132</v>
      </c>
      <c r="D229" s="36">
        <f t="shared" si="14"/>
        <v>544.12273803866549</v>
      </c>
      <c r="E229" s="34">
        <f t="shared" si="15"/>
        <v>9117.8656385912655</v>
      </c>
    </row>
    <row r="230" spans="1:5">
      <c r="A230" s="2">
        <v>225</v>
      </c>
      <c r="B230" s="35">
        <f t="shared" si="12"/>
        <v>596.45850841207766</v>
      </c>
      <c r="C230" s="36">
        <f t="shared" si="13"/>
        <v>49.38843887570269</v>
      </c>
      <c r="D230" s="36">
        <f t="shared" si="14"/>
        <v>547.07006953637494</v>
      </c>
      <c r="E230" s="34">
        <f t="shared" si="15"/>
        <v>8570.7955690548897</v>
      </c>
    </row>
    <row r="231" spans="1:5">
      <c r="A231" s="2">
        <v>226</v>
      </c>
      <c r="B231" s="35">
        <f t="shared" si="12"/>
        <v>596.45850841207766</v>
      </c>
      <c r="C231" s="36">
        <f t="shared" si="13"/>
        <v>46.425142665713985</v>
      </c>
      <c r="D231" s="36">
        <f t="shared" si="14"/>
        <v>550.03336574636364</v>
      </c>
      <c r="E231" s="34">
        <f t="shared" si="15"/>
        <v>8020.7622033085263</v>
      </c>
    </row>
    <row r="232" spans="1:5">
      <c r="A232" s="2">
        <v>227</v>
      </c>
      <c r="B232" s="35">
        <f t="shared" si="12"/>
        <v>596.45850841207766</v>
      </c>
      <c r="C232" s="36">
        <f t="shared" si="13"/>
        <v>43.445795267921184</v>
      </c>
      <c r="D232" s="36">
        <f t="shared" si="14"/>
        <v>553.01271314415646</v>
      </c>
      <c r="E232" s="34">
        <f t="shared" si="15"/>
        <v>7467.7494901643695</v>
      </c>
    </row>
    <row r="233" spans="1:5">
      <c r="A233" s="2">
        <v>228</v>
      </c>
      <c r="B233" s="35">
        <f t="shared" si="12"/>
        <v>596.45850841207766</v>
      </c>
      <c r="C233" s="36">
        <f t="shared" si="13"/>
        <v>40.450309738390338</v>
      </c>
      <c r="D233" s="36">
        <f t="shared" si="14"/>
        <v>556.00819867368728</v>
      </c>
      <c r="E233" s="34">
        <f t="shared" si="15"/>
        <v>6911.7412914906818</v>
      </c>
    </row>
    <row r="234" spans="1:5">
      <c r="A234" s="2">
        <v>229</v>
      </c>
      <c r="B234" s="35">
        <f t="shared" si="12"/>
        <v>596.45850841207766</v>
      </c>
      <c r="C234" s="36">
        <f t="shared" si="13"/>
        <v>37.438598662241191</v>
      </c>
      <c r="D234" s="36">
        <f t="shared" si="14"/>
        <v>559.01990974983642</v>
      </c>
      <c r="E234" s="34">
        <f t="shared" si="15"/>
        <v>6352.7213817408456</v>
      </c>
    </row>
    <row r="235" spans="1:5">
      <c r="A235" s="2">
        <v>230</v>
      </c>
      <c r="B235" s="35">
        <f t="shared" si="12"/>
        <v>596.45850841207766</v>
      </c>
      <c r="C235" s="36">
        <f t="shared" si="13"/>
        <v>34.410574151096249</v>
      </c>
      <c r="D235" s="36">
        <f t="shared" si="14"/>
        <v>562.04793426098138</v>
      </c>
      <c r="E235" s="34">
        <f t="shared" si="15"/>
        <v>5790.6734474798641</v>
      </c>
    </row>
    <row r="236" spans="1:5">
      <c r="A236" s="2">
        <v>231</v>
      </c>
      <c r="B236" s="35">
        <f t="shared" si="12"/>
        <v>596.45850841207766</v>
      </c>
      <c r="C236" s="36">
        <f t="shared" si="13"/>
        <v>31.366147840515932</v>
      </c>
      <c r="D236" s="36">
        <f t="shared" si="14"/>
        <v>565.0923605715617</v>
      </c>
      <c r="E236" s="34">
        <f t="shared" si="15"/>
        <v>5225.5810869083025</v>
      </c>
    </row>
    <row r="237" spans="1:5">
      <c r="A237" s="2">
        <v>232</v>
      </c>
      <c r="B237" s="35">
        <f t="shared" si="12"/>
        <v>596.45850841207766</v>
      </c>
      <c r="C237" s="36">
        <f t="shared" si="13"/>
        <v>28.305230887419974</v>
      </c>
      <c r="D237" s="36">
        <f t="shared" si="14"/>
        <v>568.15327752465771</v>
      </c>
      <c r="E237" s="34">
        <f t="shared" si="15"/>
        <v>4657.4278093836447</v>
      </c>
    </row>
    <row r="238" spans="1:5">
      <c r="A238" s="2">
        <v>233</v>
      </c>
      <c r="B238" s="35">
        <f t="shared" si="12"/>
        <v>596.45850841207766</v>
      </c>
      <c r="C238" s="36">
        <f t="shared" si="13"/>
        <v>25.227733967494743</v>
      </c>
      <c r="D238" s="36">
        <f t="shared" si="14"/>
        <v>571.23077444458295</v>
      </c>
      <c r="E238" s="34">
        <f t="shared" si="15"/>
        <v>4086.1970349390617</v>
      </c>
    </row>
    <row r="239" spans="1:5">
      <c r="A239" s="2">
        <v>234</v>
      </c>
      <c r="B239" s="35">
        <f t="shared" si="12"/>
        <v>596.45850841207766</v>
      </c>
      <c r="C239" s="36">
        <f t="shared" si="13"/>
        <v>22.133567272586586</v>
      </c>
      <c r="D239" s="36">
        <f t="shared" si="14"/>
        <v>574.3249411394911</v>
      </c>
      <c r="E239" s="34">
        <f t="shared" si="15"/>
        <v>3511.8720937995704</v>
      </c>
    </row>
    <row r="240" spans="1:5">
      <c r="A240" s="2">
        <v>235</v>
      </c>
      <c r="B240" s="35">
        <f t="shared" si="12"/>
        <v>596.45850841207766</v>
      </c>
      <c r="C240" s="36">
        <f t="shared" si="13"/>
        <v>19.022640508081007</v>
      </c>
      <c r="D240" s="36">
        <f t="shared" si="14"/>
        <v>577.43586790399661</v>
      </c>
      <c r="E240" s="34">
        <f t="shared" si="15"/>
        <v>2934.4362258955739</v>
      </c>
    </row>
    <row r="241" spans="1:5">
      <c r="A241" s="2">
        <v>236</v>
      </c>
      <c r="B241" s="35">
        <f t="shared" si="12"/>
        <v>596.45850841207766</v>
      </c>
      <c r="C241" s="36">
        <f t="shared" si="13"/>
        <v>15.894862890267692</v>
      </c>
      <c r="D241" s="36">
        <f t="shared" si="14"/>
        <v>580.56364552180992</v>
      </c>
      <c r="E241" s="34">
        <f t="shared" si="15"/>
        <v>2353.8725803737639</v>
      </c>
    </row>
    <row r="242" spans="1:5">
      <c r="A242" s="2">
        <v>237</v>
      </c>
      <c r="B242" s="35">
        <f t="shared" si="12"/>
        <v>596.45850841207766</v>
      </c>
      <c r="C242" s="36">
        <f t="shared" si="13"/>
        <v>12.750143143691222</v>
      </c>
      <c r="D242" s="36">
        <f t="shared" si="14"/>
        <v>583.70836526838639</v>
      </c>
      <c r="E242" s="34">
        <f t="shared" si="15"/>
        <v>1770.1642151053775</v>
      </c>
    </row>
    <row r="243" spans="1:5">
      <c r="A243" s="2">
        <v>238</v>
      </c>
      <c r="B243" s="35">
        <f t="shared" si="12"/>
        <v>596.45850841207766</v>
      </c>
      <c r="C243" s="36">
        <f t="shared" si="13"/>
        <v>9.5883894984874622</v>
      </c>
      <c r="D243" s="36">
        <f t="shared" si="14"/>
        <v>586.8701189135902</v>
      </c>
      <c r="E243" s="34">
        <f t="shared" si="15"/>
        <v>1183.2940961917873</v>
      </c>
    </row>
    <row r="244" spans="1:5">
      <c r="A244" s="2">
        <v>239</v>
      </c>
      <c r="B244" s="35">
        <f t="shared" si="12"/>
        <v>596.45850841207766</v>
      </c>
      <c r="C244" s="36">
        <f t="shared" si="13"/>
        <v>6.4095096877055147</v>
      </c>
      <c r="D244" s="36">
        <f t="shared" si="14"/>
        <v>590.04899872437215</v>
      </c>
      <c r="E244" s="34">
        <f t="shared" si="15"/>
        <v>593.24509746741512</v>
      </c>
    </row>
    <row r="245" spans="1:5">
      <c r="A245" s="2">
        <v>240</v>
      </c>
      <c r="B245" s="35">
        <f t="shared" si="12"/>
        <v>596.45850841207766</v>
      </c>
      <c r="C245" s="36">
        <f t="shared" si="13"/>
        <v>3.2134109446151653</v>
      </c>
      <c r="D245" s="36">
        <f t="shared" si="14"/>
        <v>593.24509746746253</v>
      </c>
      <c r="E245" s="34">
        <f t="shared" si="15"/>
        <v>-4.7407411329913884E-11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baseColWidth="10" defaultColWidth="8.83203125" defaultRowHeight="14" x14ac:dyDescent="0"/>
  <cols>
    <col min="1" max="1" width="22.6640625" customWidth="1"/>
    <col min="2" max="4" width="10.5" style="2" bestFit="1" customWidth="1"/>
  </cols>
  <sheetData>
    <row r="1" spans="1:4" s="5" customFormat="1">
      <c r="A1" s="5" t="s">
        <v>148</v>
      </c>
      <c r="B1" s="47"/>
      <c r="C1" s="47"/>
      <c r="D1" s="47"/>
    </row>
    <row r="2" spans="1:4">
      <c r="A2" s="5" t="s">
        <v>112</v>
      </c>
    </row>
    <row r="4" spans="1:4">
      <c r="B4" s="1" t="s">
        <v>2</v>
      </c>
      <c r="C4" s="1" t="s">
        <v>3</v>
      </c>
      <c r="D4" s="1" t="s">
        <v>4</v>
      </c>
    </row>
    <row r="5" spans="1:4">
      <c r="A5" s="5" t="s">
        <v>87</v>
      </c>
    </row>
    <row r="6" spans="1:4">
      <c r="A6" t="s">
        <v>91</v>
      </c>
      <c r="B6" s="38">
        <f>'Income Statement'!B7/'Income Statement'!B5</f>
        <v>0.68243243243243246</v>
      </c>
      <c r="C6" s="38">
        <f>'Income Statement'!C7/'Income Statement'!C5</f>
        <v>0.67521186440677972</v>
      </c>
      <c r="D6" s="38">
        <f>'Income Statement'!D7/'Income Statement'!D5</f>
        <v>0.60302663438256654</v>
      </c>
    </row>
    <row r="7" spans="1:4">
      <c r="A7" t="s">
        <v>92</v>
      </c>
      <c r="B7" s="38">
        <f>'Income Statement'!B21/'Income Statement'!B5</f>
        <v>-0.89790598964078072</v>
      </c>
      <c r="C7" s="38">
        <f>'Income Statement'!C21/'Income Statement'!C5</f>
        <v>-0.56150765597907859</v>
      </c>
      <c r="D7" s="38">
        <f>'Income Statement'!D21/'Income Statement'!D5</f>
        <v>-0.22904407542234329</v>
      </c>
    </row>
    <row r="8" spans="1:4">
      <c r="A8" t="s">
        <v>93</v>
      </c>
      <c r="B8" s="38">
        <f>'Income Statement'!B21/'Balance Sheet'!B12</f>
        <v>-0.16514806474350677</v>
      </c>
      <c r="C8" s="38">
        <f>'Income Statement'!C21/'Balance Sheet'!C12</f>
        <v>-0.11215873022976451</v>
      </c>
      <c r="D8" s="38">
        <f>'Income Statement'!D21/'Balance Sheet'!D12</f>
        <v>-8.104703365862248E-2</v>
      </c>
    </row>
    <row r="9" spans="1:4">
      <c r="A9" t="s">
        <v>94</v>
      </c>
      <c r="B9" s="38">
        <f>'Income Statement'!B21/'Balance Sheet'!B23</f>
        <v>-1.7958119792815614</v>
      </c>
      <c r="C9" s="38">
        <f>'Income Statement'!C21/'Balance Sheet'!C23</f>
        <v>-1.1374747365756444</v>
      </c>
      <c r="D9" s="38">
        <f>'Income Statement'!D21/'Balance Sheet'!D23</f>
        <v>-1.1397012427641902</v>
      </c>
    </row>
    <row r="11" spans="1:4">
      <c r="A11" s="5" t="s">
        <v>88</v>
      </c>
    </row>
    <row r="12" spans="1:4">
      <c r="A12" t="s">
        <v>95</v>
      </c>
      <c r="B12" s="46">
        <f>'Balance Sheet'!B8/'Balance Sheet'!B15</f>
        <v>4.4565217391304346</v>
      </c>
      <c r="C12" s="46">
        <f>'Balance Sheet'!C8/'Balance Sheet'!C15</f>
        <v>47.8</v>
      </c>
      <c r="D12" s="46">
        <f>'Balance Sheet'!D8/'Balance Sheet'!D15</f>
        <v>55.68181818181818</v>
      </c>
    </row>
    <row r="13" spans="1:4">
      <c r="A13" t="s">
        <v>96</v>
      </c>
      <c r="B13" s="46">
        <f>('Balance Sheet'!B8-'Balance Sheet'!B7)/'Balance Sheet'!B15</f>
        <v>0.54347826086956519</v>
      </c>
      <c r="C13" s="46">
        <f>('Balance Sheet'!C8-'Balance Sheet'!C7)/'Balance Sheet'!C15</f>
        <v>3.8</v>
      </c>
      <c r="D13" s="46">
        <f>('Balance Sheet'!D8-'Balance Sheet'!D7)/'Balance Sheet'!D15</f>
        <v>3.4090909090909092</v>
      </c>
    </row>
    <row r="15" spans="1:4">
      <c r="A15" s="5" t="s">
        <v>89</v>
      </c>
    </row>
    <row r="16" spans="1:4">
      <c r="A16" t="s">
        <v>97</v>
      </c>
      <c r="B16" s="46">
        <f>'Balance Sheet'!B19/'Balance Sheet'!B23</f>
        <v>2.5513513513513515</v>
      </c>
      <c r="C16" s="46">
        <f>'Balance Sheet'!C19/'Balance Sheet'!C23</f>
        <v>0.30901287553648071</v>
      </c>
      <c r="D16" s="46">
        <f>'Balance Sheet'!D19/'Balance Sheet'!D23</f>
        <v>0.37349397590361444</v>
      </c>
    </row>
    <row r="18" spans="1:4">
      <c r="A18" s="5" t="s">
        <v>90</v>
      </c>
    </row>
    <row r="19" spans="1:4">
      <c r="A19" t="s">
        <v>98</v>
      </c>
      <c r="B19" s="46">
        <f>'Income Statement'!B5/(AVERAGE('Startup Costs'!B17,'Balance Sheet'!B7))</f>
        <v>0.40217391304347827</v>
      </c>
      <c r="C19" s="46">
        <f>'Income Statement'!C5/(AVERAGE('Balance Sheet'!B7:C7))</f>
        <v>0.23599999999999999</v>
      </c>
      <c r="D19" s="46">
        <f>'Income Statement'!D5/(AVERAGE('Balance Sheet'!C7:D7))</f>
        <v>0.36711111111111111</v>
      </c>
    </row>
    <row r="24" spans="1:4">
      <c r="A24" s="6"/>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A2" sqref="A2"/>
    </sheetView>
  </sheetViews>
  <sheetFormatPr baseColWidth="10" defaultColWidth="8.83203125" defaultRowHeight="14" x14ac:dyDescent="0"/>
  <cols>
    <col min="1" max="1" width="27.5" customWidth="1"/>
    <col min="2" max="2" width="12.83203125" customWidth="1"/>
    <col min="3" max="3" width="15.1640625" customWidth="1"/>
    <col min="4" max="4" width="13.5" customWidth="1"/>
  </cols>
  <sheetData>
    <row r="1" spans="1:4">
      <c r="A1" s="5" t="s">
        <v>148</v>
      </c>
    </row>
    <row r="2" spans="1:4">
      <c r="A2" s="5" t="s">
        <v>122</v>
      </c>
    </row>
    <row r="4" spans="1:4">
      <c r="B4" s="1" t="s">
        <v>2</v>
      </c>
      <c r="C4" s="1" t="s">
        <v>3</v>
      </c>
      <c r="D4" s="1" t="s">
        <v>4</v>
      </c>
    </row>
    <row r="6" spans="1:4">
      <c r="A6" t="s">
        <v>20</v>
      </c>
      <c r="B6" s="9">
        <f>'Income Statement'!B5</f>
        <v>37000</v>
      </c>
      <c r="C6" s="9">
        <f>'Income Statement'!C5</f>
        <v>47200</v>
      </c>
      <c r="D6" s="9">
        <f>'Income Statement'!D5</f>
        <v>82600</v>
      </c>
    </row>
    <row r="7" spans="1:4">
      <c r="A7" t="s">
        <v>21</v>
      </c>
      <c r="B7" s="9">
        <f>'Income Statement'!B6</f>
        <v>11750</v>
      </c>
      <c r="C7" s="9">
        <f>'Income Statement'!C6</f>
        <v>15330</v>
      </c>
      <c r="D7" s="9">
        <f>'Income Statement'!D6</f>
        <v>32790</v>
      </c>
    </row>
    <row r="8" spans="1:4">
      <c r="A8" t="s">
        <v>116</v>
      </c>
      <c r="B8" s="57">
        <f>'Breakeven Analysis'!B7/'Breakeven Analysis'!B6</f>
        <v>0.31756756756756754</v>
      </c>
      <c r="C8" s="57">
        <f>'Breakeven Analysis'!C7/'Breakeven Analysis'!C6</f>
        <v>0.32478813559322034</v>
      </c>
      <c r="D8" s="57">
        <f>'Breakeven Analysis'!D7/'Breakeven Analysis'!D6</f>
        <v>0.3969733656174334</v>
      </c>
    </row>
    <row r="9" spans="1:4">
      <c r="A9" s="6" t="s">
        <v>22</v>
      </c>
      <c r="B9" s="12">
        <f>B6-B7</f>
        <v>25250</v>
      </c>
      <c r="C9" s="12">
        <f>C6-C7</f>
        <v>31870</v>
      </c>
      <c r="D9" s="12">
        <f>D6-D7</f>
        <v>49810</v>
      </c>
    </row>
    <row r="10" spans="1:4">
      <c r="A10" s="6" t="s">
        <v>118</v>
      </c>
      <c r="B10" s="58">
        <f>B9/B6</f>
        <v>0.68243243243243246</v>
      </c>
      <c r="C10" s="58">
        <f t="shared" ref="C10:D10" si="0">C9/C6</f>
        <v>0.67521186440677972</v>
      </c>
      <c r="D10" s="58">
        <f t="shared" si="0"/>
        <v>0.60302663438256654</v>
      </c>
    </row>
    <row r="11" spans="1:4">
      <c r="A11" t="s">
        <v>23</v>
      </c>
      <c r="B11" s="11"/>
      <c r="C11" s="11"/>
      <c r="D11" s="11"/>
    </row>
    <row r="12" spans="1:4">
      <c r="A12" t="s">
        <v>103</v>
      </c>
      <c r="B12" s="11">
        <f>'Income Statement'!B9</f>
        <v>40000</v>
      </c>
      <c r="C12" s="11">
        <f>'Income Statement'!C9</f>
        <v>40000</v>
      </c>
      <c r="D12" s="11">
        <f>'Income Statement'!D9</f>
        <v>40000</v>
      </c>
    </row>
    <row r="13" spans="1:4">
      <c r="A13" t="s">
        <v>101</v>
      </c>
      <c r="B13" s="11">
        <f>'Income Statement'!B10</f>
        <v>12000</v>
      </c>
      <c r="C13" s="11">
        <f>'Income Statement'!C10</f>
        <v>12500</v>
      </c>
      <c r="D13" s="11">
        <f>'Income Statement'!D10</f>
        <v>13000</v>
      </c>
    </row>
    <row r="14" spans="1:4">
      <c r="A14" t="s">
        <v>24</v>
      </c>
      <c r="B14" s="11">
        <f>'Income Statement'!B11</f>
        <v>3500</v>
      </c>
      <c r="C14" s="11">
        <f>'Income Statement'!C11</f>
        <v>3500</v>
      </c>
      <c r="D14" s="11">
        <f>'Income Statement'!D11</f>
        <v>3500</v>
      </c>
    </row>
    <row r="15" spans="1:4">
      <c r="A15" t="s">
        <v>25</v>
      </c>
      <c r="B15" s="11">
        <v>14500</v>
      </c>
      <c r="C15" s="11">
        <v>17000</v>
      </c>
      <c r="D15" s="11">
        <v>24000</v>
      </c>
    </row>
    <row r="16" spans="1:4">
      <c r="A16" t="s">
        <v>115</v>
      </c>
      <c r="B16" s="11">
        <f>'Income Statement'!B13</f>
        <v>12000</v>
      </c>
      <c r="C16" s="11">
        <f>'Income Statement'!C13</f>
        <v>8000</v>
      </c>
      <c r="D16" s="11">
        <f>'Income Statement'!D13</f>
        <v>10000</v>
      </c>
    </row>
    <row r="17" spans="1:6">
      <c r="A17" t="s">
        <v>27</v>
      </c>
      <c r="B17" s="11">
        <f>'Income Statement'!B14</f>
        <v>2500</v>
      </c>
      <c r="C17" s="11">
        <f>'Income Statement'!C14</f>
        <v>2500</v>
      </c>
      <c r="D17" s="11">
        <f>'Income Statement'!D14</f>
        <v>2500</v>
      </c>
    </row>
    <row r="18" spans="1:6">
      <c r="A18" t="s">
        <v>29</v>
      </c>
      <c r="B18" s="11">
        <f>'Income Statement'!B15</f>
        <v>1000</v>
      </c>
      <c r="C18" s="11">
        <f>'Income Statement'!C15</f>
        <v>1000</v>
      </c>
      <c r="D18" s="11">
        <f>'Income Statement'!D15</f>
        <v>1000</v>
      </c>
    </row>
    <row r="19" spans="1:6">
      <c r="A19" t="s">
        <v>30</v>
      </c>
      <c r="B19" s="11">
        <f>'Income Statement'!B16</f>
        <v>7831.9047619047615</v>
      </c>
      <c r="C19" s="11">
        <f>'Income Statement'!C16</f>
        <v>8867.6190476190477</v>
      </c>
      <c r="D19" s="11">
        <f>'Income Statement'!D16</f>
        <v>8867.6190476190477</v>
      </c>
    </row>
    <row r="20" spans="1:6" ht="15" thickBot="1">
      <c r="A20" t="s">
        <v>32</v>
      </c>
      <c r="B20" s="14">
        <f>SUM(B13:B19)</f>
        <v>53331.904761904763</v>
      </c>
      <c r="C20" s="14">
        <f>SUM(C13:C19)</f>
        <v>53367.619047619046</v>
      </c>
      <c r="D20" s="14">
        <f>SUM(D13:D19)</f>
        <v>62867.619047619046</v>
      </c>
    </row>
    <row r="21" spans="1:6">
      <c r="A21" s="6" t="s">
        <v>33</v>
      </c>
      <c r="B21" s="12">
        <f>B9-B20</f>
        <v>-28081.904761904763</v>
      </c>
      <c r="C21" s="12">
        <f>C9-C20</f>
        <v>-21497.619047619046</v>
      </c>
      <c r="D21" s="12">
        <f>D9-D20</f>
        <v>-13057.619047619046</v>
      </c>
    </row>
    <row r="22" spans="1:6">
      <c r="A22" t="s">
        <v>34</v>
      </c>
      <c r="B22" s="9">
        <f>'Income Statement'!B19</f>
        <v>5140.6168548041214</v>
      </c>
      <c r="C22" s="9">
        <f>'Income Statement'!C19</f>
        <v>5005.5423145934656</v>
      </c>
      <c r="D22" s="9">
        <f>'Income Statement'!D19</f>
        <v>4861.4215822665092</v>
      </c>
    </row>
    <row r="23" spans="1:6" ht="15" thickBot="1">
      <c r="A23" t="s">
        <v>35</v>
      </c>
      <c r="B23" s="9">
        <f>B6*0.6</f>
        <v>22200</v>
      </c>
      <c r="C23" s="9">
        <f>C6*0.6</f>
        <v>28320</v>
      </c>
      <c r="D23" s="9">
        <f>D6*0.6</f>
        <v>49560</v>
      </c>
    </row>
    <row r="24" spans="1:6" ht="15" thickBot="1">
      <c r="A24" s="6" t="s">
        <v>36</v>
      </c>
      <c r="B24" s="16">
        <f>B21-B22-B23</f>
        <v>-55422.521616708887</v>
      </c>
      <c r="C24" s="16">
        <f>C21-C22-C23</f>
        <v>-54823.161362212515</v>
      </c>
      <c r="D24" s="16">
        <f>D21-D22-D23</f>
        <v>-67479.040629885552</v>
      </c>
    </row>
    <row r="25" spans="1:6" ht="15" thickTop="1"/>
    <row r="27" spans="1:6">
      <c r="A27" s="59" t="s">
        <v>117</v>
      </c>
      <c r="B27" s="60">
        <f>(B20+B22+B23)/B10</f>
        <v>118213.19999280115</v>
      </c>
      <c r="C27" s="60">
        <f t="shared" ref="C27:D27" si="1">(C20+C22+C23)/C10</f>
        <v>128394.01368987859</v>
      </c>
      <c r="D27" s="60">
        <f t="shared" si="1"/>
        <v>194500.59739065543</v>
      </c>
      <c r="F27" t="s">
        <v>119</v>
      </c>
    </row>
    <row r="28" spans="1:6">
      <c r="F28" t="s">
        <v>121</v>
      </c>
    </row>
    <row r="29" spans="1:6">
      <c r="A29" s="5" t="s">
        <v>120</v>
      </c>
    </row>
    <row r="30" spans="1:6">
      <c r="B30" s="1" t="s">
        <v>2</v>
      </c>
      <c r="C30" s="1" t="s">
        <v>3</v>
      </c>
      <c r="D30" s="1" t="s">
        <v>4</v>
      </c>
    </row>
    <row r="32" spans="1:6">
      <c r="A32" t="s">
        <v>20</v>
      </c>
      <c r="B32" s="9">
        <f>B27</f>
        <v>118213.19999280115</v>
      </c>
      <c r="C32" s="9">
        <f t="shared" ref="C32:D32" si="2">C27</f>
        <v>128394.01368987859</v>
      </c>
      <c r="D32" s="9">
        <f t="shared" si="2"/>
        <v>194500.59739065543</v>
      </c>
    </row>
    <row r="33" spans="1:4">
      <c r="A33" t="s">
        <v>21</v>
      </c>
      <c r="B33" s="9">
        <f>B32*B8</f>
        <v>37540.678376092255</v>
      </c>
      <c r="C33" s="9">
        <f t="shared" ref="C33:D33" si="3">C32*C8</f>
        <v>41700.852327666078</v>
      </c>
      <c r="D33" s="9">
        <f t="shared" si="3"/>
        <v>77211.556760769876</v>
      </c>
    </row>
    <row r="34" spans="1:4">
      <c r="A34" s="6" t="s">
        <v>22</v>
      </c>
      <c r="B34" s="12">
        <f>B32-B33</f>
        <v>80672.521616708895</v>
      </c>
      <c r="C34" s="12">
        <f>C32-C33</f>
        <v>86693.161362212501</v>
      </c>
      <c r="D34" s="12">
        <f>D32-D33</f>
        <v>117289.04062988555</v>
      </c>
    </row>
    <row r="35" spans="1:4">
      <c r="A35" t="s">
        <v>23</v>
      </c>
      <c r="B35" s="11"/>
      <c r="C35" s="11"/>
      <c r="D35" s="11"/>
    </row>
    <row r="36" spans="1:4">
      <c r="A36" t="s">
        <v>103</v>
      </c>
      <c r="B36" s="11">
        <f>B12</f>
        <v>40000</v>
      </c>
      <c r="C36" s="11">
        <f t="shared" ref="C36:D36" si="4">C12</f>
        <v>40000</v>
      </c>
      <c r="D36" s="11">
        <f t="shared" si="4"/>
        <v>40000</v>
      </c>
    </row>
    <row r="37" spans="1:4">
      <c r="A37" t="s">
        <v>101</v>
      </c>
      <c r="B37" s="11">
        <f t="shared" ref="B37:D43" si="5">B13</f>
        <v>12000</v>
      </c>
      <c r="C37" s="11">
        <f t="shared" si="5"/>
        <v>12500</v>
      </c>
      <c r="D37" s="11">
        <f t="shared" si="5"/>
        <v>13000</v>
      </c>
    </row>
    <row r="38" spans="1:4">
      <c r="A38" t="s">
        <v>24</v>
      </c>
      <c r="B38" s="11">
        <f t="shared" si="5"/>
        <v>3500</v>
      </c>
      <c r="C38" s="11">
        <f t="shared" si="5"/>
        <v>3500</v>
      </c>
      <c r="D38" s="11">
        <f t="shared" si="5"/>
        <v>3500</v>
      </c>
    </row>
    <row r="39" spans="1:4">
      <c r="A39" t="s">
        <v>25</v>
      </c>
      <c r="B39" s="11">
        <f t="shared" si="5"/>
        <v>14500</v>
      </c>
      <c r="C39" s="11">
        <f t="shared" si="5"/>
        <v>17000</v>
      </c>
      <c r="D39" s="11">
        <f t="shared" si="5"/>
        <v>24000</v>
      </c>
    </row>
    <row r="40" spans="1:4">
      <c r="A40" t="s">
        <v>115</v>
      </c>
      <c r="B40" s="11">
        <f t="shared" si="5"/>
        <v>12000</v>
      </c>
      <c r="C40" s="11">
        <f t="shared" si="5"/>
        <v>8000</v>
      </c>
      <c r="D40" s="11">
        <f t="shared" si="5"/>
        <v>10000</v>
      </c>
    </row>
    <row r="41" spans="1:4">
      <c r="A41" t="s">
        <v>27</v>
      </c>
      <c r="B41" s="11">
        <f t="shared" si="5"/>
        <v>2500</v>
      </c>
      <c r="C41" s="11">
        <f t="shared" si="5"/>
        <v>2500</v>
      </c>
      <c r="D41" s="11">
        <f t="shared" si="5"/>
        <v>2500</v>
      </c>
    </row>
    <row r="42" spans="1:4">
      <c r="A42" t="s">
        <v>29</v>
      </c>
      <c r="B42" s="11">
        <f t="shared" si="5"/>
        <v>1000</v>
      </c>
      <c r="C42" s="11">
        <f t="shared" si="5"/>
        <v>1000</v>
      </c>
      <c r="D42" s="11">
        <f t="shared" si="5"/>
        <v>1000</v>
      </c>
    </row>
    <row r="43" spans="1:4">
      <c r="A43" t="s">
        <v>30</v>
      </c>
      <c r="B43" s="11">
        <f t="shared" si="5"/>
        <v>7831.9047619047615</v>
      </c>
      <c r="C43" s="11">
        <f t="shared" si="5"/>
        <v>8867.6190476190477</v>
      </c>
      <c r="D43" s="11">
        <f t="shared" si="5"/>
        <v>8867.6190476190477</v>
      </c>
    </row>
    <row r="44" spans="1:4" ht="15" thickBot="1">
      <c r="A44" t="s">
        <v>32</v>
      </c>
      <c r="B44" s="14">
        <f>SUM(B37:B43)</f>
        <v>53331.904761904763</v>
      </c>
      <c r="C44" s="14">
        <f>SUM(C37:C43)</f>
        <v>53367.619047619046</v>
      </c>
      <c r="D44" s="14">
        <f>SUM(D37:D43)</f>
        <v>62867.619047619046</v>
      </c>
    </row>
    <row r="45" spans="1:4">
      <c r="A45" s="6" t="s">
        <v>33</v>
      </c>
      <c r="B45" s="12">
        <f>B34-B44</f>
        <v>27340.616854804131</v>
      </c>
      <c r="C45" s="12">
        <f>C34-C44</f>
        <v>33325.542314593455</v>
      </c>
      <c r="D45" s="12">
        <f>D34-D44</f>
        <v>54421.421582266506</v>
      </c>
    </row>
    <row r="46" spans="1:4">
      <c r="A46" t="s">
        <v>34</v>
      </c>
      <c r="B46" s="9">
        <f>B22</f>
        <v>5140.6168548041214</v>
      </c>
      <c r="C46" s="9">
        <f t="shared" ref="C46:D46" si="6">C22</f>
        <v>5005.5423145934656</v>
      </c>
      <c r="D46" s="9">
        <f t="shared" si="6"/>
        <v>4861.4215822665092</v>
      </c>
    </row>
    <row r="47" spans="1:4" ht="15" thickBot="1">
      <c r="A47" t="s">
        <v>35</v>
      </c>
      <c r="B47" s="9">
        <f>'Income Statement'!B45</f>
        <v>0</v>
      </c>
      <c r="C47" s="9">
        <f>'Income Statement'!C45</f>
        <v>0</v>
      </c>
      <c r="D47" s="9">
        <f>'Income Statement'!D45</f>
        <v>0</v>
      </c>
    </row>
    <row r="48" spans="1:4" ht="15" thickBot="1">
      <c r="A48" s="6" t="s">
        <v>36</v>
      </c>
      <c r="B48" s="16">
        <f>B45-B46-B47</f>
        <v>22200.000000000011</v>
      </c>
      <c r="C48" s="16">
        <f>C45-C46-C47</f>
        <v>28319.999999999989</v>
      </c>
      <c r="D48" s="16">
        <f>D45-D46-D47</f>
        <v>49560</v>
      </c>
    </row>
    <row r="49" ht="15" thickTop="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Startup Costs</vt:lpstr>
      <vt:lpstr>Sales Forecast</vt:lpstr>
      <vt:lpstr>Income Statement</vt:lpstr>
      <vt:lpstr>Balance Sheet</vt:lpstr>
      <vt:lpstr>Depreciation Schedule</vt:lpstr>
      <vt:lpstr>Loan Amortizaton</vt:lpstr>
      <vt:lpstr>Ratios</vt:lpstr>
      <vt:lpstr>Breakeven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yourid</dc:creator>
  <cp:lastModifiedBy>Collin Wheeler</cp:lastModifiedBy>
  <dcterms:created xsi:type="dcterms:W3CDTF">2012-05-25T04:23:53Z</dcterms:created>
  <dcterms:modified xsi:type="dcterms:W3CDTF">2012-10-31T19:04:02Z</dcterms:modified>
</cp:coreProperties>
</file>